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9144\Desktop\COMFA\"/>
    </mc:Choice>
  </mc:AlternateContent>
  <xr:revisionPtr revIDLastSave="0" documentId="13_ncr:1_{8633C517-ACE6-4A87-AA5D-FC5DBB6629B6}" xr6:coauthVersionLast="47" xr6:coauthVersionMax="47" xr10:uidLastSave="{00000000-0000-0000-0000-000000000000}"/>
  <bookViews>
    <workbookView xWindow="-96" yWindow="-96" windowWidth="23232" windowHeight="13992" tabRatio="813" xr2:uid="{00000000-000D-0000-FFFF-FFFF00000000}"/>
  </bookViews>
  <sheets>
    <sheet name="&lt;&lt;COMFA Questionaire&gt;&gt;" sheetId="6" r:id="rId1"/>
    <sheet name="Assumptions" sheetId="10" state="hidden" r:id="rId2"/>
    <sheet name="Formulas" sheetId="16" state="hidden" r:id="rId3"/>
    <sheet name="Energy Budget" sheetId="1" r:id="rId4"/>
    <sheet name="R(abs)" sheetId="2" r:id="rId5"/>
    <sheet name="Height and Weight" sheetId="24" r:id="rId6"/>
    <sheet name="Lists" sheetId="9" r:id="rId7"/>
    <sheet name="Data Tables" sheetId="7" r:id="rId8"/>
    <sheet name="Human Clothing" sheetId="15" r:id="rId9"/>
    <sheet name="Fur" sheetId="17" state="hidden" r:id="rId10"/>
    <sheet name="R(abs) WITHOUT DATA" sheetId="4" state="hidden" r:id="rId11"/>
    <sheet name="WIND IN OPEN SPACE" sheetId="3" state="hidden" r:id="rId12"/>
  </sheets>
  <definedNames>
    <definedName name="ACActivity2">'&lt;&lt;COMFA Questionaire&gt;&gt;'!#REF!</definedName>
    <definedName name="ACC">'&lt;&lt;COMFA Questionaire&gt;&gt;'!#REF!</definedName>
    <definedName name="ACcloud">'&lt;&lt;COMFA Questionaire&gt;&gt;'!#REF!</definedName>
    <definedName name="ACgroundchange">'&lt;&lt;COMFA Questionaire&gt;&gt;'!#REF!</definedName>
    <definedName name="ACleaf">'&lt;&lt;COMFA Questionaire&gt;&gt;'!#REF!</definedName>
    <definedName name="ACM">'&lt;&lt;COMFA Questionaire&gt;&gt;'!#REF!</definedName>
    <definedName name="ACT">'&lt;&lt;COMFA Questionaire&gt;&gt;'!#REF!</definedName>
    <definedName name="ACTemp">'&lt;&lt;COMFA Questionaire&gt;&gt;'!#REF!</definedName>
    <definedName name="Activity">Lists!$H$3:$H$26</definedName>
    <definedName name="ACtree">'&lt;&lt;COMFA Questionaire&gt;&gt;'!#REF!</definedName>
    <definedName name="ACUR">'&lt;&lt;COMFA Questionaire&gt;&gt;'!#REF!</definedName>
    <definedName name="ACV">'&lt;&lt;COMFA Questionaire&gt;&gt;'!#REF!</definedName>
    <definedName name="ACwindbreak">'&lt;&lt;COMFA Questionaire&gt;&gt;'!#REF!</definedName>
    <definedName name="ACWINDCHANGE">'&lt;&lt;COMFA Questionaire&gt;&gt;'!#REF!</definedName>
    <definedName name="Allclothes">Lists!$X$3:$X$42</definedName>
    <definedName name="Animals">Lists!$AB$3:$AB$4</definedName>
    <definedName name="ASkyAlb">'&lt;&lt;COMFA Questionaire&gt;&gt;'!#REF!</definedName>
    <definedName name="AWA">'&lt;&lt;COMFA Questionaire&gt;&gt;'!#REF!</definedName>
    <definedName name="Breeze">Lists!$G$11:$G$14</definedName>
    <definedName name="BuildingMaterial">Lists!$Z$3:$Z$9</definedName>
    <definedName name="CA">'&lt;&lt;COMFA Questionaire&gt;&gt;'!$D$22</definedName>
    <definedName name="CActivity2">'&lt;&lt;COMFA Questionaire&gt;&gt;'!$D$58</definedName>
    <definedName name="CatActivity">Lists!$H$30:$H$32</definedName>
    <definedName name="CatColour">Lists!$S$8:$S$10</definedName>
    <definedName name="catcolours">'&lt;&lt;COMFA Questionaire&gt;&gt;'!#REF!</definedName>
    <definedName name="Catsex">'&lt;&lt;COMFA Questionaire&gt;&gt;'!#REF!</definedName>
    <definedName name="CC">'&lt;&lt;COMFA Questionaire&gt;&gt;'!$D$9</definedName>
    <definedName name="Cclotheson">'&lt;&lt;COMFA Questionaire&gt;&gt;'!$D$53</definedName>
    <definedName name="Ccloud">'&lt;&lt;COMFA Questionaire&gt;&gt;'!#REF!</definedName>
    <definedName name="Ccolour">'&lt;&lt;COMFA Questionaire&gt;&gt;'!$D$55</definedName>
    <definedName name="CG">'&lt;&lt;COMFA Questionaire&gt;&gt;'!$D$20</definedName>
    <definedName name="Cgroundchange">'&lt;&lt;COMFA Questionaire&gt;&gt;'!$D$48</definedName>
    <definedName name="Cities">Lists!$B$3:$B$49</definedName>
    <definedName name="CL">'&lt;&lt;COMFA Questionaire&gt;&gt;'!#REF!</definedName>
    <definedName name="CLeaf">'&lt;&lt;COMFA Questionaire&gt;&gt;'!$D$42</definedName>
    <definedName name="Clothing">Lists!$R$3:$R$8</definedName>
    <definedName name="ClothingColour">Lists!$S$3:$S$5</definedName>
    <definedName name="CM">'&lt;&lt;COMFA Questionaire&gt;&gt;'!$D$11</definedName>
    <definedName name="CMove">'&lt;&lt;COMFA Questionaire&gt;&gt;'!#REF!</definedName>
    <definedName name="CT">'&lt;&lt;COMFA Questionaire&gt;&gt;'!$D$15</definedName>
    <definedName name="CTemp">'&lt;&lt;COMFA Questionaire&gt;&gt;'!$D$51</definedName>
    <definedName name="Ctree">'&lt;&lt;COMFA Questionaire&gt;&gt;'!$D$40</definedName>
    <definedName name="Culture">Lists!$U$3:$U$4</definedName>
    <definedName name="CUR">'&lt;&lt;COMFA Questionaire&gt;&gt;'!$D$13</definedName>
    <definedName name="CV">'&lt;&lt;COMFA Questionaire&gt;&gt;'!$D$44</definedName>
    <definedName name="CW">'&lt;&lt;COMFA Questionaire&gt;&gt;'!#REF!</definedName>
    <definedName name="Cwindbreak">'&lt;&lt;COMFA Questionaire&gt;&gt;'!#REF!</definedName>
    <definedName name="CWINDCHANGE">'&lt;&lt;COMFA Questionaire&gt;&gt;'!#REF!</definedName>
    <definedName name="Ground">Lists!$I$3:$I$42</definedName>
    <definedName name="InLeaf">Lists!$K$36:$K$37</definedName>
    <definedName name="Location">Lists!$J$3:$J$12</definedName>
    <definedName name="Month">Lists!$F$3:$F$14</definedName>
    <definedName name="NewCity">Lists!$B$3:$B$49</definedName>
    <definedName name="NewTemp">Lists!$V$3:$V$16</definedName>
    <definedName name="NewWind">Lists!$G$11:$G$15</definedName>
    <definedName name="NewWindBreak">Lists!$P$3:$P$9</definedName>
    <definedName name="_xlnm.Print_Area" localSheetId="3">'Energy Budget'!$C$2:$P$8</definedName>
    <definedName name="_xlnm.Print_Area" localSheetId="4">'R(abs)'!$B$4:$M$4</definedName>
    <definedName name="sdf">Lists!#REF!</definedName>
    <definedName name="SEX">Lists!$AC$3:$AC$4</definedName>
    <definedName name="SkyAlb">'&lt;&lt;COMFA Questionaire&gt;&gt;'!$D$46</definedName>
    <definedName name="ss">Lists!#REF!</definedName>
    <definedName name="Temperature" localSheetId="6">Lists!#REF!</definedName>
    <definedName name="Temperature">Lists!#REF!</definedName>
    <definedName name="Temperatures" localSheetId="6">Lists!#REF!</definedName>
    <definedName name="Temperatures">Lists!#REF!</definedName>
    <definedName name="Time">Lists!$E$3:$E$26</definedName>
    <definedName name="Tree">Lists!$K$3:$K$33</definedName>
    <definedName name="Trees" localSheetId="6">Lists!$K$4:$K$33</definedName>
    <definedName name="Trees">Lists!$K$4:$K$28</definedName>
    <definedName name="typeofday">Lists!$D$3:$D$5</definedName>
    <definedName name="Visibility">Lists!$T$3:$T$13</definedName>
    <definedName name="WA">'&lt;&lt;COMFA Questionaire&gt;&gt;'!#REF!</definedName>
    <definedName name="Wind">Lists!$G$3:$G$7</definedName>
    <definedName name="Windbreak">Lists!$P$3:$P$5</definedName>
    <definedName name="WindMove">Lists!$G$18:$G$20</definedName>
    <definedName name="WithAgainst">Lists!$AA$3:$AA$5</definedName>
    <definedName name="Z_0A510603_FE9B_4CD5_A4D2_8C62E5448D4B_.wvu.PrintArea" localSheetId="3" hidden="1">'Energy Budget'!$C$2:$P$8</definedName>
    <definedName name="Z_0A510603_FE9B_4CD5_A4D2_8C62E5448D4B_.wvu.PrintArea" localSheetId="4" hidden="1">'R(abs)'!$B$4:$M$4</definedName>
    <definedName name="Z_61DBA1B3_E59B_4919_9AAE_0AA2686EA6EF_.wvu.PrintArea" localSheetId="3" hidden="1">'Energy Budget'!$C$2:$P$8</definedName>
    <definedName name="Z_61DBA1B3_E59B_4919_9AAE_0AA2686EA6EF_.wvu.PrintArea" localSheetId="4" hidden="1">'R(abs)'!$B$4:$M$4</definedName>
    <definedName name="Z_B8F7A2A6_ADDA_446E_A2E2_71D108D720EE_.wvu.PrintArea" localSheetId="3" hidden="1">'Energy Budget'!$C$2:$P$8</definedName>
    <definedName name="Z_B8F7A2A6_ADDA_446E_A2E2_71D108D720EE_.wvu.PrintArea" localSheetId="4" hidden="1">'R(abs)'!$B$4:$M$4</definedName>
    <definedName name="Z_C2ED3EC0_A5A2_11D4_AD0B_005004AD6C46_.wvu.PrintArea" localSheetId="3" hidden="1">'Energy Budget'!$C$2:$P$8</definedName>
    <definedName name="Z_C2ED3EC0_A5A2_11D4_AD0B_005004AD6C46_.wvu.PrintArea" localSheetId="4" hidden="1">'R(abs)'!$B$4:$M$4</definedName>
    <definedName name="Z_D174C659_3169_4E0A_9FBC_11FF945F8575_.wvu.PrintArea" localSheetId="3" hidden="1">'Energy Budget'!$C$2:$P$8</definedName>
    <definedName name="Z_D174C659_3169_4E0A_9FBC_11FF945F8575_.wvu.PrintArea" localSheetId="4" hidden="1">'R(abs)'!$B$4:$M$4</definedName>
    <definedName name="Z_D2F15E24_6D0C_42A6_AC7E_867035E37C0D_.wvu.PrintArea" localSheetId="3" hidden="1">'Energy Budget'!$C$2:$P$8</definedName>
    <definedName name="Z_D2F15E24_6D0C_42A6_AC7E_867035E37C0D_.wvu.PrintArea" localSheetId="4" hidden="1">'R(abs)'!$B$4:$M$4</definedName>
    <definedName name="Z_DEEDC23C_5E0A_459A_BE7F_FE8D0597CCC6_.wvu.PrintArea" localSheetId="3" hidden="1">'Energy Budget'!$C$2:$P$8</definedName>
    <definedName name="Z_DEEDC23C_5E0A_459A_BE7F_FE8D0597CCC6_.wvu.PrintArea" localSheetId="4" hidden="1">'R(abs)'!$B$4:$M$4</definedName>
    <definedName name="Z_E8C32DA9_0164_4F67_B3EC_42FCEEB16D5C_.wvu.PrintArea" localSheetId="3" hidden="1">'Energy Budget'!$C$2:$P$8</definedName>
    <definedName name="Z_E8C32DA9_0164_4F67_B3EC_42FCEEB16D5C_.wvu.PrintArea" localSheetId="4" hidden="1">'R(abs)'!$B$4:$M$4</definedName>
  </definedNames>
  <calcPr calcId="191029"/>
  <customWorkbookViews>
    <customWorkbookView name="Dr. Robert D. Brown - Personal View" guid="{0A510603-FE9B-4CD5-A4D2-8C62E5448D4B}" mergeInterval="0" personalView="1" maximized="1" windowWidth="1276" windowHeight="654" tabRatio="716" activeSheetId="1"/>
    <customWorkbookView name="Andrew Lawson - Personal View" guid="{C2ED3EC0-A5A2-11D4-AD0B-005004AD6C46}" mergeInterval="0" personalView="1" maximized="1" windowWidth="1020" windowHeight="579" tabRatio="716" activeSheetId="1"/>
    <customWorkbookView name="BRaymond - Personal View" guid="{D174C659-3169-4E0A-9FBC-11FF945F8575}" mergeInterval="0" personalView="1" maximized="1" windowWidth="1276" windowHeight="727" tabRatio="716" activeSheetId="1"/>
    <customWorkbookView name="admin - Personal View" guid="{E8C32DA9-0164-4F67-B3EC-42FCEEB16D5C}" mergeInterval="0" personalView="1" maximized="1" windowWidth="1148" windowHeight="666" tabRatio="716" activeSheetId="1"/>
    <customWorkbookView name="user - Personal View" guid="{61DBA1B3-E59B-4919-9AAE-0AA2686EA6EF}" mergeInterval="0" personalView="1" maximized="1" windowWidth="1020" windowHeight="623" tabRatio="716" activeSheetId="1"/>
    <customWorkbookView name="Trudy - Personal View" guid="{B8F7A2A6-ADDA-446E-A2E2-71D108D720EE}" mergeInterval="0" personalView="1" maximized="1" windowWidth="1020" windowHeight="592" tabRatio="716" activeSheetId="1"/>
    <customWorkbookView name="R brown - Personal View" guid="{D2F15E24-6D0C-42A6-AC7E-867035E37C0D}" mergeInterval="0" personalView="1" maximized="1" windowWidth="1276" windowHeight="825" tabRatio="716" activeSheetId="1"/>
    <customWorkbookView name="Colby - Personal View" guid="{DEEDC23C-5E0A-459A-BE7F-FE8D0597CCC6}" mergeInterval="0" personalView="1" maximized="1" xWindow="1" yWindow="1" windowWidth="1280" windowHeight="579" tabRatio="558" activeSheetId="7"/>
  </customWorkbookViews>
</workbook>
</file>

<file path=xl/calcChain.xml><?xml version="1.0" encoding="utf-8"?>
<calcChain xmlns="http://schemas.openxmlformats.org/spreadsheetml/2006/main">
  <c r="AM5" i="2" l="1"/>
  <c r="R7" i="1"/>
  <c r="R8" i="1"/>
  <c r="R5" i="1" l="1"/>
  <c r="R6" i="1"/>
  <c r="Q5" i="2" l="1"/>
  <c r="W8" i="2"/>
  <c r="E8" i="2" s="1"/>
  <c r="W7" i="2"/>
  <c r="E7" i="2" s="1"/>
  <c r="W6" i="2"/>
  <c r="E6" i="2" s="1"/>
  <c r="G5" i="2"/>
  <c r="AJ8" i="2"/>
  <c r="AJ7" i="2"/>
  <c r="S5" i="2"/>
  <c r="H5" i="2" s="1"/>
  <c r="T5" i="2"/>
  <c r="I5" i="2" s="1"/>
  <c r="U5" i="2"/>
  <c r="J5" i="2" s="1"/>
  <c r="W5" i="2"/>
  <c r="E5" i="2" s="1"/>
  <c r="AJ5" i="2"/>
  <c r="AJ6" i="2"/>
  <c r="AC8" i="2" l="1"/>
  <c r="AC7" i="2"/>
  <c r="AC6" i="2"/>
  <c r="AC5" i="2"/>
  <c r="E5" i="1" l="1"/>
  <c r="AJ13" i="7" l="1"/>
  <c r="C42" i="7" l="1"/>
  <c r="F51" i="7" s="1"/>
  <c r="D46" i="7" s="1"/>
  <c r="S8" i="7"/>
  <c r="K7" i="1" s="1"/>
  <c r="T7" i="2" s="1"/>
  <c r="I7" i="2" s="1"/>
  <c r="I20" i="7"/>
  <c r="Y3" i="7"/>
  <c r="X18" i="7" s="1"/>
  <c r="Q11" i="7"/>
  <c r="E5" i="24" l="1"/>
  <c r="D5" i="24"/>
  <c r="C5" i="24"/>
  <c r="U33" i="24"/>
  <c r="R5" i="24" s="1"/>
  <c r="G5" i="24" l="1"/>
  <c r="K8" i="1"/>
  <c r="T8" i="2" s="1"/>
  <c r="I8" i="2" s="1"/>
  <c r="G20" i="7"/>
  <c r="S7" i="1" l="1"/>
  <c r="Q7" i="2" s="1"/>
  <c r="G7" i="2" s="1"/>
  <c r="G17" i="7"/>
  <c r="C5" i="1" s="1"/>
  <c r="C7" i="1" s="1"/>
  <c r="R5" i="2" l="1"/>
  <c r="F5" i="2" s="1"/>
  <c r="R6" i="2"/>
  <c r="F6" i="2" s="1"/>
  <c r="O8" i="1"/>
  <c r="X8" i="2" s="1"/>
  <c r="O6" i="1"/>
  <c r="X6" i="2" s="1"/>
  <c r="O5" i="1"/>
  <c r="X5" i="2" s="1"/>
  <c r="D5" i="2" s="1"/>
  <c r="AD5" i="2" l="1"/>
  <c r="D6" i="2"/>
  <c r="N5" i="2"/>
  <c r="O7" i="1"/>
  <c r="X7" i="2" s="1"/>
  <c r="B49" i="15"/>
  <c r="D7" i="2" l="1"/>
  <c r="N6" i="2"/>
  <c r="AD6" i="2"/>
  <c r="N5" i="1"/>
  <c r="Y5" i="2" s="1"/>
  <c r="C5" i="2" s="1"/>
  <c r="L5" i="1"/>
  <c r="F45" i="7"/>
  <c r="D60" i="7"/>
  <c r="E57" i="7" s="1"/>
  <c r="E7" i="1" s="1"/>
  <c r="D5" i="1"/>
  <c r="Z5" i="2" s="1"/>
  <c r="B5" i="2" s="1"/>
  <c r="AI5" i="2" l="1"/>
  <c r="AB5" i="2"/>
  <c r="AF5" i="2"/>
  <c r="AG5" i="2" s="1"/>
  <c r="AD7" i="2"/>
  <c r="D8" i="2"/>
  <c r="N7" i="2"/>
  <c r="AL5" i="2"/>
  <c r="AH5" i="2"/>
  <c r="AE5" i="2"/>
  <c r="D7" i="1"/>
  <c r="Z7" i="2" s="1"/>
  <c r="B7" i="2" s="1"/>
  <c r="D63" i="7"/>
  <c r="D57" i="7"/>
  <c r="D58" i="7"/>
  <c r="D59" i="7"/>
  <c r="D61" i="7"/>
  <c r="D62" i="7"/>
  <c r="AC5" i="1"/>
  <c r="W5" i="1"/>
  <c r="Y5" i="1" s="1"/>
  <c r="Z5" i="1" s="1"/>
  <c r="V5" i="1" s="1"/>
  <c r="AO5" i="1" s="1"/>
  <c r="L7" i="1"/>
  <c r="L8" i="1"/>
  <c r="AN5" i="2" l="1"/>
  <c r="K5" i="2" s="1"/>
  <c r="AD8" i="2"/>
  <c r="N8" i="2"/>
  <c r="AL7" i="2"/>
  <c r="AE7" i="2"/>
  <c r="E8" i="1"/>
  <c r="AC7" i="1"/>
  <c r="D8" i="1"/>
  <c r="Z8" i="2" s="1"/>
  <c r="B8" i="2" s="1"/>
  <c r="H72" i="6"/>
  <c r="J72" i="6"/>
  <c r="C49" i="15"/>
  <c r="AL8" i="2" l="1"/>
  <c r="AE8" i="2"/>
  <c r="L5" i="2"/>
  <c r="AO5" i="2"/>
  <c r="M5" i="2" s="1"/>
  <c r="B52" i="15"/>
  <c r="B5" i="24"/>
  <c r="O5" i="2" l="1"/>
  <c r="M5" i="1"/>
  <c r="G7" i="1"/>
  <c r="F7" i="1"/>
  <c r="K6" i="1"/>
  <c r="T6" i="2" s="1"/>
  <c r="I6" i="2" s="1"/>
  <c r="P6" i="1"/>
  <c r="U6" i="2" s="1"/>
  <c r="J6" i="2" s="1"/>
  <c r="S6" i="1"/>
  <c r="Q6" i="2" s="1"/>
  <c r="G6" i="2" s="1"/>
  <c r="T6" i="1"/>
  <c r="S6" i="2" s="1"/>
  <c r="H6" i="2" s="1"/>
  <c r="M27" i="24" l="1"/>
  <c r="M28" i="24" s="1"/>
  <c r="L27" i="24"/>
  <c r="M21" i="24"/>
  <c r="M22" i="24" s="1"/>
  <c r="L21" i="24"/>
  <c r="L14" i="24"/>
  <c r="M14" i="24"/>
  <c r="M15" i="24" s="1"/>
  <c r="L5" i="24"/>
  <c r="L8" i="24" s="1"/>
  <c r="O5" i="24" s="1"/>
  <c r="I11" i="24"/>
  <c r="M5" i="24"/>
  <c r="M8" i="24" s="1"/>
  <c r="F5" i="24"/>
  <c r="L22" i="24" l="1"/>
  <c r="O22" i="24" s="1"/>
  <c r="S22" i="24" s="1"/>
  <c r="O21" i="24"/>
  <c r="O27" i="24"/>
  <c r="L28" i="24"/>
  <c r="O28" i="24" s="1"/>
  <c r="S28" i="24" s="1"/>
  <c r="O14" i="24"/>
  <c r="L15" i="24"/>
  <c r="O15" i="24" s="1"/>
  <c r="I5" i="24"/>
  <c r="I8" i="24" s="1"/>
  <c r="J5" i="24"/>
  <c r="J8" i="24" s="1"/>
  <c r="P5" i="24"/>
  <c r="Q5" i="24" s="1"/>
  <c r="S5" i="24" s="1"/>
  <c r="D6" i="1"/>
  <c r="Z6" i="2" s="1"/>
  <c r="B6" i="2" s="1"/>
  <c r="AE6" i="2" l="1"/>
  <c r="AH6" i="2"/>
  <c r="AL6" i="2"/>
  <c r="S12" i="24"/>
  <c r="C6" i="1" s="1"/>
  <c r="C8" i="1" s="1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W12" i="24"/>
  <c r="X12" i="24" s="1"/>
  <c r="X11" i="24"/>
  <c r="X10" i="24"/>
  <c r="X9" i="24"/>
  <c r="W8" i="24"/>
  <c r="X8" i="24" s="1"/>
  <c r="X7" i="24"/>
  <c r="X6" i="24"/>
  <c r="X5" i="24"/>
  <c r="X4" i="24"/>
  <c r="X3" i="24"/>
  <c r="AM6" i="2" l="1"/>
  <c r="L6" i="2" s="1"/>
  <c r="F43" i="7"/>
  <c r="N6" i="1"/>
  <c r="Y6" i="2" s="1"/>
  <c r="C6" i="2" s="1"/>
  <c r="U15" i="7"/>
  <c r="C52" i="15"/>
  <c r="H7" i="1" s="1"/>
  <c r="F11" i="17"/>
  <c r="F8" i="17"/>
  <c r="M32" i="7"/>
  <c r="M33" i="7"/>
  <c r="M34" i="7"/>
  <c r="M35" i="7"/>
  <c r="M37" i="7"/>
  <c r="M38" i="7"/>
  <c r="M31" i="7"/>
  <c r="B3" i="16"/>
  <c r="E21" i="7"/>
  <c r="E22" i="7"/>
  <c r="E23" i="7"/>
  <c r="E24" i="7"/>
  <c r="E25" i="7"/>
  <c r="E26" i="7"/>
  <c r="E4" i="7"/>
  <c r="E5" i="7"/>
  <c r="E6" i="7"/>
  <c r="E7" i="7"/>
  <c r="E9" i="7"/>
  <c r="E10" i="7"/>
  <c r="E11" i="7"/>
  <c r="E13" i="7"/>
  <c r="E14" i="7"/>
  <c r="E15" i="7"/>
  <c r="E16" i="7"/>
  <c r="E17" i="7"/>
  <c r="E18" i="7"/>
  <c r="E19" i="7"/>
  <c r="E20" i="7"/>
  <c r="E3" i="7"/>
  <c r="D12" i="7"/>
  <c r="E12" i="7" s="1"/>
  <c r="D8" i="7"/>
  <c r="E8" i="7" s="1"/>
  <c r="M5" i="7"/>
  <c r="M6" i="7"/>
  <c r="M7" i="7"/>
  <c r="M8" i="7"/>
  <c r="M9" i="7"/>
  <c r="M10" i="7"/>
  <c r="M11" i="7"/>
  <c r="M12" i="7"/>
  <c r="M13" i="7"/>
  <c r="M14" i="7"/>
  <c r="M15" i="7"/>
  <c r="M18" i="7"/>
  <c r="M19" i="7"/>
  <c r="M20" i="7"/>
  <c r="M21" i="7"/>
  <c r="M22" i="7"/>
  <c r="M23" i="7"/>
  <c r="M24" i="7"/>
  <c r="M25" i="7"/>
  <c r="M43" i="7"/>
  <c r="M44" i="7"/>
  <c r="M45" i="7"/>
  <c r="M46" i="7"/>
  <c r="M49" i="7"/>
  <c r="M50" i="7"/>
  <c r="M51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4" i="7"/>
  <c r="AE41" i="7"/>
  <c r="AE6" i="7"/>
  <c r="AE9" i="7"/>
  <c r="AE10" i="7"/>
  <c r="AE11" i="7"/>
  <c r="AE14" i="7"/>
  <c r="AE15" i="7"/>
  <c r="AG6" i="7" s="1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6" i="7"/>
  <c r="AE37" i="7"/>
  <c r="AE38" i="7"/>
  <c r="AE39" i="7"/>
  <c r="AE40" i="7"/>
  <c r="AE5" i="7"/>
  <c r="F49" i="7"/>
  <c r="AI6" i="2" l="1"/>
  <c r="AB6" i="2"/>
  <c r="AF6" i="2"/>
  <c r="AG6" i="2" s="1"/>
  <c r="P7" i="1"/>
  <c r="U7" i="2" s="1"/>
  <c r="J7" i="2" s="1"/>
  <c r="AH7" i="2" s="1"/>
  <c r="AM7" i="2" s="1"/>
  <c r="L7" i="2" s="1"/>
  <c r="R7" i="2"/>
  <c r="F7" i="2" s="1"/>
  <c r="I17" i="7"/>
  <c r="T7" i="1"/>
  <c r="S7" i="2" s="1"/>
  <c r="H7" i="2" s="1"/>
  <c r="T8" i="1"/>
  <c r="S8" i="2" s="1"/>
  <c r="H8" i="2" s="1"/>
  <c r="P8" i="1"/>
  <c r="U8" i="2" s="1"/>
  <c r="J8" i="2" s="1"/>
  <c r="AH8" i="2" s="1"/>
  <c r="AM8" i="2" s="1"/>
  <c r="L8" i="2" s="1"/>
  <c r="S8" i="1"/>
  <c r="Q8" i="2" s="1"/>
  <c r="G8" i="2" s="1"/>
  <c r="D52" i="15"/>
  <c r="F52" i="15" s="1"/>
  <c r="I7" i="1" s="1"/>
  <c r="G5" i="1"/>
  <c r="F5" i="1"/>
  <c r="H5" i="1"/>
  <c r="G52" i="15"/>
  <c r="J7" i="1" s="1"/>
  <c r="N7" i="1"/>
  <c r="Y7" i="2" s="1"/>
  <c r="C7" i="2" s="1"/>
  <c r="G49" i="15"/>
  <c r="AN6" i="2" l="1"/>
  <c r="K6" i="2" s="1"/>
  <c r="AB7" i="2"/>
  <c r="AF7" i="2"/>
  <c r="AG7" i="2" s="1"/>
  <c r="AI7" i="2"/>
  <c r="N8" i="1"/>
  <c r="Y8" i="2" s="1"/>
  <c r="C8" i="2" s="1"/>
  <c r="G6" i="1"/>
  <c r="G8" i="1"/>
  <c r="F6" i="1"/>
  <c r="F8" i="1"/>
  <c r="H6" i="1"/>
  <c r="H8" i="1"/>
  <c r="R8" i="2"/>
  <c r="F8" i="2" s="1"/>
  <c r="L6" i="1"/>
  <c r="AA5" i="1"/>
  <c r="J5" i="1"/>
  <c r="W7" i="1"/>
  <c r="E11" i="17"/>
  <c r="G11" i="17" s="1"/>
  <c r="D49" i="15"/>
  <c r="F49" i="15" s="1"/>
  <c r="D48" i="7"/>
  <c r="E8" i="17"/>
  <c r="G8" i="17" s="1"/>
  <c r="D45" i="7"/>
  <c r="D44" i="7"/>
  <c r="AN7" i="2" l="1"/>
  <c r="AO7" i="2" s="1"/>
  <c r="AO6" i="2"/>
  <c r="M6" i="1" s="1"/>
  <c r="AB8" i="2"/>
  <c r="AF8" i="2"/>
  <c r="AG8" i="2" s="1"/>
  <c r="AI8" i="2"/>
  <c r="J70" i="6"/>
  <c r="K70" i="6"/>
  <c r="J8" i="1"/>
  <c r="J6" i="1"/>
  <c r="E6" i="1"/>
  <c r="W6" i="1"/>
  <c r="Y6" i="1" s="1"/>
  <c r="Z6" i="1" s="1"/>
  <c r="V6" i="1" s="1"/>
  <c r="Y7" i="1"/>
  <c r="Y8" i="1" s="1"/>
  <c r="W8" i="1"/>
  <c r="AC8" i="1"/>
  <c r="I5" i="1"/>
  <c r="D49" i="7"/>
  <c r="K7" i="2" l="1"/>
  <c r="M6" i="2"/>
  <c r="O6" i="2" s="1"/>
  <c r="AN8" i="2"/>
  <c r="K8" i="2" s="1"/>
  <c r="M7" i="2"/>
  <c r="O7" i="2" s="1"/>
  <c r="M7" i="1"/>
  <c r="AC6" i="1"/>
  <c r="K72" i="6"/>
  <c r="I72" i="6"/>
  <c r="H70" i="6"/>
  <c r="I69" i="6"/>
  <c r="AH5" i="1"/>
  <c r="AF5" i="1"/>
  <c r="Z8" i="1"/>
  <c r="V8" i="1" s="1"/>
  <c r="AA6" i="1"/>
  <c r="AO6" i="1"/>
  <c r="X6" i="1" s="1"/>
  <c r="Z7" i="1"/>
  <c r="V7" i="1" s="1"/>
  <c r="I6" i="1"/>
  <c r="AH6" i="1" s="1"/>
  <c r="AO8" i="2" l="1"/>
  <c r="M8" i="2" s="1"/>
  <c r="O8" i="2" s="1"/>
  <c r="H69" i="6"/>
  <c r="I70" i="6"/>
  <c r="I8" i="1"/>
  <c r="AH8" i="1" s="1"/>
  <c r="AH7" i="1"/>
  <c r="AE6" i="1"/>
  <c r="AD5" i="1"/>
  <c r="AE5" i="1"/>
  <c r="X5" i="1"/>
  <c r="AF7" i="1"/>
  <c r="AE8" i="1"/>
  <c r="AF8" i="1"/>
  <c r="AD8" i="1"/>
  <c r="AO8" i="1"/>
  <c r="X8" i="1" s="1"/>
  <c r="AA8" i="1"/>
  <c r="AO7" i="1"/>
  <c r="AA7" i="1"/>
  <c r="M8" i="1" l="1"/>
  <c r="H71" i="6"/>
  <c r="I71" i="6"/>
  <c r="AF6" i="1"/>
  <c r="AD6" i="1"/>
  <c r="AG5" i="1"/>
  <c r="AB5" i="1" s="1"/>
  <c r="AE7" i="1"/>
  <c r="AG8" i="1"/>
  <c r="AD7" i="1"/>
  <c r="X7" i="1"/>
  <c r="AI5" i="1" l="1"/>
  <c r="H73" i="6" s="1"/>
  <c r="AL5" i="1"/>
  <c r="AM5" i="1" s="1"/>
  <c r="J69" i="6"/>
  <c r="K69" i="6"/>
  <c r="J71" i="6"/>
  <c r="AG6" i="1"/>
  <c r="AB6" i="1" s="1"/>
  <c r="AG7" i="1"/>
  <c r="AB8" i="1"/>
  <c r="AL8" i="1" s="1"/>
  <c r="K71" i="6" l="1"/>
  <c r="AI6" i="1"/>
  <c r="I73" i="6" s="1"/>
  <c r="AJ6" i="1"/>
  <c r="AK6" i="1" s="1"/>
  <c r="I75" i="6" s="1"/>
  <c r="AL6" i="1"/>
  <c r="AM6" i="1" s="1"/>
  <c r="AP6" i="1" s="1"/>
  <c r="AB7" i="1"/>
  <c r="AI7" i="1" s="1"/>
  <c r="J73" i="6" s="1"/>
  <c r="AJ5" i="1"/>
  <c r="AK5" i="1" s="1"/>
  <c r="H75" i="6" s="1"/>
  <c r="AN5" i="1"/>
  <c r="AI8" i="1"/>
  <c r="K73" i="6" s="1"/>
  <c r="AJ8" i="1"/>
  <c r="AK8" i="1" s="1"/>
  <c r="K75" i="6" s="1"/>
  <c r="AN8" i="1"/>
  <c r="AM8" i="1"/>
  <c r="AP8" i="1" s="1"/>
  <c r="AN6" i="1" l="1"/>
  <c r="AR6" i="1" s="1"/>
  <c r="AJ7" i="1"/>
  <c r="AK7" i="1" s="1"/>
  <c r="J75" i="6" s="1"/>
  <c r="AL7" i="1"/>
  <c r="AN7" i="1" s="1"/>
  <c r="AP5" i="1"/>
  <c r="AQ5" i="1" s="1"/>
  <c r="AR8" i="1"/>
  <c r="AQ8" i="1"/>
  <c r="AQ6" i="1" l="1"/>
  <c r="AS6" i="1" s="1"/>
  <c r="AM7" i="1"/>
  <c r="AS8" i="1"/>
  <c r="AT8" i="1" l="1"/>
  <c r="B64" i="6" s="1"/>
  <c r="K74" i="6"/>
  <c r="AT6" i="1"/>
  <c r="B36" i="6" s="1"/>
  <c r="I74" i="6"/>
  <c r="AP7" i="1"/>
  <c r="AR7" i="1" s="1"/>
  <c r="I76" i="6" l="1"/>
  <c r="AQ7" i="1"/>
  <c r="AS7" i="1" s="1"/>
  <c r="K76" i="6"/>
  <c r="AR5" i="1"/>
  <c r="AS5" i="1" s="1"/>
  <c r="H74" i="6" s="1"/>
  <c r="AT7" i="1" l="1"/>
  <c r="B62" i="6" s="1"/>
  <c r="J74" i="6"/>
  <c r="AT5" i="1"/>
  <c r="B25" i="6" s="1"/>
  <c r="J76" i="6" l="1"/>
  <c r="H76" i="6" l="1"/>
</calcChain>
</file>

<file path=xl/sharedStrings.xml><?xml version="1.0" encoding="utf-8"?>
<sst xmlns="http://schemas.openxmlformats.org/spreadsheetml/2006/main" count="1298" uniqueCount="750">
  <si>
    <t>X=11333*W</t>
  </si>
  <si>
    <t>ALBEDO OF TEST PERSON (typ. 37%)</t>
  </si>
  <si>
    <t>Solar Radiation absorbed by a Person (W/m2)</t>
  </si>
  <si>
    <t>Terrestial Radiation absorbed by a Person (W/m2)</t>
  </si>
  <si>
    <t>Total Radiation absorbed by a Person (R(abs))</t>
  </si>
  <si>
    <t>DIFFD=DIFFP/100</t>
  </si>
  <si>
    <t>LONGS=(1.2*(5.67E-0.08*(TK^4)))-171</t>
  </si>
  <si>
    <t>TOTAL=0.98*(5.67E-0.08*(TK^4))*(1-SVF)</t>
  </si>
  <si>
    <t>LGRD=0.98*(5.67E-0.08*(TK^4))</t>
  </si>
  <si>
    <t>KABS=(((SWCYL*SR)+(SVF*DIFFS)+DIFFS*(1-SVF)*ALBO)+(REFL))*(1-ALBP)</t>
  </si>
  <si>
    <t>RABS=((KABS+LABS)*0.8)</t>
  </si>
  <si>
    <t>Measure Solar Radiation in the Open (W/M2):SWO</t>
  </si>
  <si>
    <t>Solar Elevation:EL</t>
  </si>
  <si>
    <t>Diffuse as % of Measured Solar Radiation:DIFFP</t>
  </si>
  <si>
    <t>Transmissivity of Object(s) between Person and Sun(%):SR</t>
  </si>
  <si>
    <t>Albedo of Object(s) in the Sky Hemisphere(%):ALBO</t>
  </si>
  <si>
    <t>Albedo of Ground (%):ALBGRD</t>
  </si>
  <si>
    <t>Albedo of Test Person(%):ALBP</t>
  </si>
  <si>
    <t>Sky View Factor(%):SVF</t>
  </si>
  <si>
    <t>Air Temperature(C):TK</t>
  </si>
  <si>
    <t>Solar Radiation (W/m2)</t>
  </si>
  <si>
    <t>Diffuse as % of Solar</t>
  </si>
  <si>
    <t>Albedo of objects in sky hemisphere</t>
  </si>
  <si>
    <t>Albedo of ground</t>
  </si>
  <si>
    <t>Solar Elevation (degrees above horizon)</t>
  </si>
  <si>
    <t>ALBO (albedo of sky objects %)</t>
  </si>
  <si>
    <t>ALBEDO OF GROUND %</t>
  </si>
  <si>
    <t>SKY VIEW FACTOR %</t>
  </si>
  <si>
    <t>RAD (constant)</t>
  </si>
  <si>
    <t>TEMP(T) Celsius)</t>
  </si>
  <si>
    <t>Solar Elevation (degrees)</t>
  </si>
  <si>
    <t>Diffuse as % of full sun</t>
  </si>
  <si>
    <t>SR (trans object between person - sun %)</t>
  </si>
  <si>
    <t>Sky View Factor %</t>
  </si>
  <si>
    <t>TK</t>
  </si>
  <si>
    <t xml:space="preserve">I </t>
  </si>
  <si>
    <t>RH</t>
  </si>
  <si>
    <t>Rabs</t>
  </si>
  <si>
    <t>SWO</t>
  </si>
  <si>
    <t>EL</t>
  </si>
  <si>
    <t>SVF</t>
  </si>
  <si>
    <t>DIFFP</t>
  </si>
  <si>
    <t>SR</t>
  </si>
  <si>
    <t>ALBO</t>
  </si>
  <si>
    <t>ALBGRD</t>
  </si>
  <si>
    <t>ALBP</t>
  </si>
  <si>
    <t>KABS</t>
  </si>
  <si>
    <t>LABS</t>
  </si>
  <si>
    <t>RABS</t>
  </si>
  <si>
    <t>Kabs</t>
  </si>
  <si>
    <t>Labs</t>
  </si>
  <si>
    <t xml:space="preserve">SR </t>
  </si>
  <si>
    <t xml:space="preserve">RAD </t>
  </si>
  <si>
    <t>DIFFS</t>
  </si>
  <si>
    <t>DIFFD</t>
  </si>
  <si>
    <t>ELRAD</t>
  </si>
  <si>
    <t>LONGS</t>
  </si>
  <si>
    <t>SWPLT</t>
  </si>
  <si>
    <t>SWCYL</t>
  </si>
  <si>
    <t>TOTAL</t>
  </si>
  <si>
    <t>REFL</t>
  </si>
  <si>
    <t>LGRD</t>
  </si>
  <si>
    <t>Date</t>
  </si>
  <si>
    <t>NOTE:</t>
  </si>
  <si>
    <t>TIME</t>
  </si>
  <si>
    <t>X</t>
  </si>
  <si>
    <t># of bikes</t>
  </si>
  <si>
    <t xml:space="preserve">SWCYL=SWPLT/3.141592654 </t>
  </si>
  <si>
    <t>&lt; -150</t>
  </si>
  <si>
    <t>Would prefer to be much warmer</t>
  </si>
  <si>
    <t>Would prefer to be warmer</t>
  </si>
  <si>
    <t>No change</t>
  </si>
  <si>
    <t>Would prefer to be cooler</t>
  </si>
  <si>
    <t>Would prefer to be much cooler</t>
  </si>
  <si>
    <t>Cities</t>
  </si>
  <si>
    <t>Toronto (Metro Zoo)</t>
  </si>
  <si>
    <t>Kyoto</t>
  </si>
  <si>
    <t>Type of Day</t>
  </si>
  <si>
    <t>Sunny</t>
  </si>
  <si>
    <t>Time of Day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</si>
  <si>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</si>
  <si>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</si>
  <si>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</si>
  <si>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</si>
  <si>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</si>
  <si>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</si>
  <si>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</si>
  <si>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</si>
  <si>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</si>
  <si>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</si>
  <si>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</si>
  <si>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</si>
  <si>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</si>
  <si>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Wind</t>
  </si>
  <si>
    <t>Light Breeze</t>
  </si>
  <si>
    <t>Moderate Breeze</t>
  </si>
  <si>
    <t>Fresh Breeze</t>
  </si>
  <si>
    <t>Strong Breeze</t>
  </si>
  <si>
    <t>Activities</t>
  </si>
  <si>
    <t>Sleeping</t>
  </si>
  <si>
    <t>Sitting</t>
  </si>
  <si>
    <t>Standing</t>
  </si>
  <si>
    <t>Standing (light work)</t>
  </si>
  <si>
    <t>Walking (4.9 - 5.5 km/h)</t>
  </si>
  <si>
    <t>Stretching</t>
  </si>
  <si>
    <t>Roller Blading</t>
  </si>
  <si>
    <t>Golf (walking and carrying clubs)</t>
  </si>
  <si>
    <t>Tennis</t>
  </si>
  <si>
    <t>Volleyball</t>
  </si>
  <si>
    <t>Soccer</t>
  </si>
  <si>
    <t>Basketball</t>
  </si>
  <si>
    <t>Mowing Lawn</t>
  </si>
  <si>
    <t>Raking Lawn</t>
  </si>
  <si>
    <t>Short spurts of intense activity</t>
  </si>
  <si>
    <t>Soils</t>
  </si>
  <si>
    <t xml:space="preserve">Moist dark cultivated </t>
  </si>
  <si>
    <t xml:space="preserve">Moist gray </t>
  </si>
  <si>
    <t>Soil, dry (light)</t>
  </si>
  <si>
    <t>Soil, wet (light)</t>
  </si>
  <si>
    <t>Dry Sandy (white)</t>
  </si>
  <si>
    <t xml:space="preserve">Wet Sandy </t>
  </si>
  <si>
    <t xml:space="preserve">Dry Sand Dune </t>
  </si>
  <si>
    <t>Dry Soil (dark)</t>
  </si>
  <si>
    <t>Wet Soil (dark)</t>
  </si>
  <si>
    <t xml:space="preserve">Grass </t>
  </si>
  <si>
    <t xml:space="preserve">Green Fields </t>
  </si>
  <si>
    <t xml:space="preserve">Wheat </t>
  </si>
  <si>
    <t xml:space="preserve">Meadows </t>
  </si>
  <si>
    <t xml:space="preserve">Chaparral </t>
  </si>
  <si>
    <t>Brown grassland</t>
  </si>
  <si>
    <t xml:space="preserve">Woods </t>
  </si>
  <si>
    <t xml:space="preserve">Deciduous forest </t>
  </si>
  <si>
    <t xml:space="preserve">Coniferous forest </t>
  </si>
  <si>
    <t xml:space="preserve">Swamp forest </t>
  </si>
  <si>
    <t>Water (high sun angle)</t>
  </si>
  <si>
    <t xml:space="preserve">Water (low sun angle) </t>
  </si>
  <si>
    <t xml:space="preserve">Snow (fresh) </t>
  </si>
  <si>
    <t xml:space="preserve">Snow (old) </t>
  </si>
  <si>
    <t>Asphalt</t>
  </si>
  <si>
    <t>Concrete</t>
  </si>
  <si>
    <t xml:space="preserve">Brick </t>
  </si>
  <si>
    <t xml:space="preserve">Stone </t>
  </si>
  <si>
    <t xml:space="preserve">Tar and gravel roof </t>
  </si>
  <si>
    <t xml:space="preserve">Tile roof </t>
  </si>
  <si>
    <t xml:space="preserve">Slate roof </t>
  </si>
  <si>
    <t xml:space="preserve">Thatch roof </t>
  </si>
  <si>
    <t xml:space="preserve">Corrugated iron </t>
  </si>
  <si>
    <t xml:space="preserve">White paint </t>
  </si>
  <si>
    <t xml:space="preserve">Red, brown, green paint </t>
  </si>
  <si>
    <t xml:space="preserve">Black paint </t>
  </si>
  <si>
    <t>Road, blacktop</t>
  </si>
  <si>
    <t>Location</t>
  </si>
  <si>
    <t>Grassy Park</t>
  </si>
  <si>
    <t>Downtown City Centre</t>
  </si>
  <si>
    <t>Roof Top Garden</t>
  </si>
  <si>
    <t>Backyard</t>
  </si>
  <si>
    <t>Porch or Patio (Restaurant)</t>
  </si>
  <si>
    <t>Sports Field</t>
  </si>
  <si>
    <t>Beach</t>
  </si>
  <si>
    <t>Forest</t>
  </si>
  <si>
    <t>Outdoor Plaza</t>
  </si>
  <si>
    <t>Zen Garden</t>
  </si>
  <si>
    <t>Norway Maple</t>
  </si>
  <si>
    <t>Red Maple</t>
  </si>
  <si>
    <t>Silver Maple</t>
  </si>
  <si>
    <t>Sugar Maple</t>
  </si>
  <si>
    <t>Horse Chestnut</t>
  </si>
  <si>
    <t>Serviceberry</t>
  </si>
  <si>
    <t>European Birch</t>
  </si>
  <si>
    <t>Shagbark Hickory</t>
  </si>
  <si>
    <t>Western Catalpa</t>
  </si>
  <si>
    <t>European Beech</t>
  </si>
  <si>
    <t>Green Ash</t>
  </si>
  <si>
    <t>Honey Locust</t>
  </si>
  <si>
    <t>Black Walnut</t>
  </si>
  <si>
    <t xml:space="preserve">Tulip Tree </t>
  </si>
  <si>
    <t>Colorado Spruce</t>
  </si>
  <si>
    <t>Whilte Pine</t>
  </si>
  <si>
    <t>London Plane Tree</t>
  </si>
  <si>
    <t>Cottonwood</t>
  </si>
  <si>
    <t>Trembling Aspen</t>
  </si>
  <si>
    <t>White Oak</t>
  </si>
  <si>
    <t>Red Oak</t>
  </si>
  <si>
    <t>Littleleaf Linden</t>
  </si>
  <si>
    <t>American Elm</t>
  </si>
  <si>
    <t>Trees</t>
  </si>
  <si>
    <t>Wind Break</t>
  </si>
  <si>
    <t>Clothing</t>
  </si>
  <si>
    <t xml:space="preserve">T-shirt, short pants, socks, running shoes </t>
  </si>
  <si>
    <t xml:space="preserve">T-shirt, long pants, socks, shoes, windbreaker </t>
  </si>
  <si>
    <t xml:space="preserve">Shirt, long pants, socks, shoes, windbreaker </t>
  </si>
  <si>
    <t xml:space="preserve">Shirt, long pants, socks, shoes, sweater </t>
  </si>
  <si>
    <t>Shirt, long pants, socks, shoes, sweater, windbreaker</t>
  </si>
  <si>
    <t>Metabolic Rate</t>
  </si>
  <si>
    <t>Tree Type</t>
  </si>
  <si>
    <t>Low</t>
  </si>
  <si>
    <t>High</t>
  </si>
  <si>
    <t>AVG</t>
  </si>
  <si>
    <t>Activities Metabolic Rate</t>
  </si>
  <si>
    <t>Windbreak</t>
  </si>
  <si>
    <t>% of full wind</t>
  </si>
  <si>
    <t>WINDBREAK</t>
  </si>
  <si>
    <t>Albedo Range</t>
  </si>
  <si>
    <t>Ice</t>
  </si>
  <si>
    <t>Average</t>
  </si>
  <si>
    <t>Albedo of Ground</t>
  </si>
  <si>
    <t xml:space="preserve">T-shirt, long pants, socks, shoes or boots </t>
  </si>
  <si>
    <t>Colour Of Clothing</t>
  </si>
  <si>
    <t>Dark</t>
  </si>
  <si>
    <t>Light</t>
  </si>
  <si>
    <t>Clothing Colour</t>
  </si>
  <si>
    <t>Colour Value</t>
  </si>
  <si>
    <t>In Leaf</t>
  </si>
  <si>
    <t>Yes</t>
  </si>
  <si>
    <t>No</t>
  </si>
  <si>
    <t>Sky Visibility</t>
  </si>
  <si>
    <t>Transmissivity %</t>
  </si>
  <si>
    <t>Summer (yes) Winter (no)</t>
  </si>
  <si>
    <t>Temperature</t>
  </si>
  <si>
    <t>2. Albedo of clothing is assumed to be 0.37 equivalent to medium colour</t>
  </si>
  <si>
    <t>Assumptions for Part 1</t>
  </si>
  <si>
    <t>1.Radiation, Temperature, Relative Humidity are based upon each specific time and location picked - Gives the Averages</t>
  </si>
  <si>
    <t>WIND at 10m</t>
  </si>
  <si>
    <t>Solar Elevation</t>
  </si>
  <si>
    <t>Iqaluit</t>
  </si>
  <si>
    <t>Elevation =</t>
  </si>
  <si>
    <t>3. Sky View Factor = 100%</t>
  </si>
  <si>
    <t>4. Transmissivity between objects and the sky = 100</t>
  </si>
  <si>
    <t>Original Temperature</t>
  </si>
  <si>
    <t>Solid Structure</t>
  </si>
  <si>
    <t>Partial Shade</t>
  </si>
  <si>
    <t>Gentle Breeze</t>
  </si>
  <si>
    <t>Urban</t>
  </si>
  <si>
    <t>Rural</t>
  </si>
  <si>
    <t>Culture</t>
  </si>
  <si>
    <t>No Tree</t>
  </si>
  <si>
    <t>New Wind</t>
  </si>
  <si>
    <t>Original Wind Speed</t>
  </si>
  <si>
    <t>Manitoba Maple</t>
  </si>
  <si>
    <t>Wind Stuff</t>
  </si>
  <si>
    <t>Into the Wind</t>
  </si>
  <si>
    <t>With the Wind</t>
  </si>
  <si>
    <t>Stationary</t>
  </si>
  <si>
    <t>Speed km/hr</t>
  </si>
  <si>
    <t>Speed m/s</t>
  </si>
  <si>
    <t>PART 1</t>
  </si>
  <si>
    <t>PART 2</t>
  </si>
  <si>
    <t>Very Light Breeze</t>
  </si>
  <si>
    <t>Fast Breeze</t>
  </si>
  <si>
    <t>Fastest Breeze</t>
  </si>
  <si>
    <t>Cedar hedge (50 percent)</t>
  </si>
  <si>
    <t>Snow fence (50 percent)</t>
  </si>
  <si>
    <t>20% Full Wind</t>
  </si>
  <si>
    <t>40% Full Wind</t>
  </si>
  <si>
    <t>60% Full Wind</t>
  </si>
  <si>
    <t>80% Full Wind</t>
  </si>
  <si>
    <t>Nothing (100 Wind)</t>
  </si>
  <si>
    <t>5. Albedo of Ground in the First Part is Assumed to be a Grassy Area</t>
  </si>
  <si>
    <t>WIND at 1.5 m</t>
  </si>
  <si>
    <t>Relative Air Movement (Vr) =</t>
  </si>
  <si>
    <t>Part 1</t>
  </si>
  <si>
    <t>Part 2</t>
  </si>
  <si>
    <t>Activity Speed m/s</t>
  </si>
  <si>
    <t>P = polyester, C = Cotton, Nyl = nylon</t>
  </si>
  <si>
    <t>Ensemble</t>
  </si>
  <si>
    <t>rco (s/m)</t>
  </si>
  <si>
    <t>rcvo (s/m)</t>
  </si>
  <si>
    <t>P (ft3ft-2min-1)</t>
  </si>
  <si>
    <t>Briefs,  T-shirt (cotton), long sleeve shirt (65/35 polysester/cotton), loose trousers (50/50 wool/polyester), socks, shoes</t>
  </si>
  <si>
    <t>Briefs, thermal underpants (50/50 polyester/cotton), T-shirt (cotton), longsleeve shirt (65/35 polyester/cotton), loose trousers (50/50 wool/polyester), round-neck sweater, calf-length socks, shoes</t>
  </si>
  <si>
    <t>Briefs, thermal undershirt (50/50 P/C), thermal underpants (50/50 C/P), insulated overalls (65/35/100 P/C/Nyl), calf-length socks, shoes</t>
  </si>
  <si>
    <t>Breifs (C), t-shirt (C), long-sleeve (C), insulated jacket (poly/polyamide), insulated trousers (Poly/polyamide), overtrousers (65/35 P/C), overjacket (Poly/polyamide), socks, shoes, gloves, hat</t>
  </si>
  <si>
    <t>Briefs (C), short-sleeve shirt (65/35 P/C), trousers (65/35 P/C), socks, shoes</t>
  </si>
  <si>
    <t>Panties (Nyl), full slip (Nyl), long sleeve collared shirt (65/35 P/C), Skirt (knee length) (C)</t>
  </si>
  <si>
    <t xml:space="preserve">Long gown (C), long wrap robe (50/50 P/acrylic), </t>
  </si>
  <si>
    <t>Long pajamas (C), long wrap robe (80Acr/20 Nyl)</t>
  </si>
  <si>
    <t>Short-sleeve long pyjamas (65/35 P/C), short wrap robe (65/35 P/C)</t>
  </si>
  <si>
    <t>Sleeveless short gown (Nyl), short robe (65/35 P/C)</t>
  </si>
  <si>
    <t>Short gown (Nyl), short-sleeve short robe (C)</t>
  </si>
  <si>
    <t>Breifs (C) Hakama (Japanese pants) (P), Haori (short jacket) (P)</t>
  </si>
  <si>
    <t>Breifs (C), collared long sleeve shirt (65/35 P/C), trousers (C), suit jacket (65/35 P/C), knee length socks, dress shoes</t>
  </si>
  <si>
    <t>Breifs, t-shirt, long-sleeve, suit jacket (single-breasted), vest, long trousers, belt, hard soled street shoes, tie</t>
  </si>
  <si>
    <t>Lahore, Pakistan</t>
  </si>
  <si>
    <t>Salwar Kameez: loose trousers (65P/35C), loose fitting tunic (65P/35C)</t>
  </si>
  <si>
    <t>Salwar Kameez: loose trousers (C), loose fitting tunic (C)</t>
  </si>
  <si>
    <t>Salwar Kameez: loose trousers (Nyl), loose fitting tunic (Nyl)</t>
  </si>
  <si>
    <t>Sherwani: national dress, long (flannel (80P/20C))</t>
  </si>
  <si>
    <t>Sherwani: national dress (C)</t>
  </si>
  <si>
    <t>Salwar Kameez (65P/35C), Sherwani (C)</t>
  </si>
  <si>
    <t xml:space="preserve">Salwar Kameez (Nyl), Achkan: long jacket (Nyl) </t>
  </si>
  <si>
    <t xml:space="preserve">Toronto/Any City </t>
  </si>
  <si>
    <t>Rc</t>
  </si>
  <si>
    <t>Activity Speed (Vac)</t>
  </si>
  <si>
    <t>Rcv</t>
  </si>
  <si>
    <t>Relative Speed (Vr)</t>
  </si>
  <si>
    <t>Panties, half-slip (knee length), long sleeve blouse, lined suit jacket (double-breasted), skirt (knee-length), pantyhose, hard soled street shoes</t>
  </si>
  <si>
    <t>Tc</t>
  </si>
  <si>
    <t>Tsk</t>
  </si>
  <si>
    <t>Convective Heat Flux</t>
  </si>
  <si>
    <t>Long Wave Radiation</t>
  </si>
  <si>
    <t>Es</t>
  </si>
  <si>
    <t>Ei</t>
  </si>
  <si>
    <t>Ra</t>
  </si>
  <si>
    <t>Re Number</t>
  </si>
  <si>
    <t>Rt</t>
  </si>
  <si>
    <t>M</t>
  </si>
  <si>
    <t>Rco</t>
  </si>
  <si>
    <t>L</t>
  </si>
  <si>
    <t>Evaporative Heat Loss</t>
  </si>
  <si>
    <t>Em</t>
  </si>
  <si>
    <t>H=RH/100</t>
  </si>
  <si>
    <t>Rt=1200/(0.13Es + 15)</t>
  </si>
  <si>
    <t>E=((0.6108*(EXP((17.269*Ta)/(Ta+237.3))))*H)</t>
  </si>
  <si>
    <t>f=(0.15-(0.0173*e)-(0.0014*Ta)</t>
  </si>
  <si>
    <t>Tsk=(((Tc -Ta)/ (Rt+Rc+Ra))*(ra+rc))+Ta)</t>
  </si>
  <si>
    <t>IF Re&lt;4000, A=0.683, n=0.466, GOTO T</t>
  </si>
  <si>
    <t>Ra=0.17/(Pr^0.33*k*A*(Re^n)</t>
  </si>
  <si>
    <t>Vw</t>
  </si>
  <si>
    <t>CONV=1200*((Tsk-Ta)/(Rc+Ra))</t>
  </si>
  <si>
    <t>L=0.75*((0.95*5.67E-0.08)*((Tsf+273.15)^4))</t>
  </si>
  <si>
    <t>qs</t>
  </si>
  <si>
    <t>qs=0.6108*(EXP((17.269*Tsf)/(Tsf+237.3)))</t>
  </si>
  <si>
    <t>Em=pLv* ((qs - qa)/ (Rcv + Rav))</t>
  </si>
  <si>
    <t>Y=pLv*(qs-qa)/(Rcv+Rav+Rtv)</t>
  </si>
  <si>
    <t>B = M + Rrt - C - E -L</t>
  </si>
  <si>
    <t>IF Em&gt;E  E= Es+Ei</t>
  </si>
  <si>
    <t xml:space="preserve">E </t>
  </si>
  <si>
    <t>E= Es + Ei</t>
  </si>
  <si>
    <t>If E&gt;Em E = Em</t>
  </si>
  <si>
    <t>Rcvo</t>
  </si>
  <si>
    <t>Wind Speed 1.5m</t>
  </si>
  <si>
    <t>Icl = 0.161 + 0.835Iclu</t>
  </si>
  <si>
    <t>Iclu - effective thermal insulation of the individuals garments</t>
  </si>
  <si>
    <t>Icl - Insulations of individuals garments</t>
  </si>
  <si>
    <t>Rcvo = 18400(0.18 x Icl)</t>
  </si>
  <si>
    <t>Sin(e) = cos(h)cos(i)cos(u) + sin(i)sin(u)</t>
  </si>
  <si>
    <t>h -hour angle in the local solar time expressed in degrees from solar noon</t>
  </si>
  <si>
    <t>i - Solar Declination</t>
  </si>
  <si>
    <t>u - is the latitude</t>
  </si>
  <si>
    <t>1 hour equals to approximately 15degrees so h = 15degrees (12-t)</t>
  </si>
  <si>
    <t>Complete Overcast</t>
  </si>
  <si>
    <t>Partly Cloudy</t>
  </si>
  <si>
    <t>Guelph, Canada</t>
  </si>
  <si>
    <t>Ottawa CDA, Canada</t>
  </si>
  <si>
    <t>Toronto, Canada</t>
  </si>
  <si>
    <t>Kyoto (Ryoan-ji Temple)</t>
  </si>
  <si>
    <t>Iqaluit, Nunavut</t>
  </si>
  <si>
    <t>Iquitos, Peru</t>
  </si>
  <si>
    <t>Kanaga, Congo</t>
  </si>
  <si>
    <t>Kuala Lumpur, Malaysia</t>
  </si>
  <si>
    <t>Manaus, Brazil</t>
  </si>
  <si>
    <t>Sao Paulo, Brazil</t>
  </si>
  <si>
    <t>Bangkok, Thailand</t>
  </si>
  <si>
    <t>Alice Springs, Australia</t>
  </si>
  <si>
    <t>Niamey, Niger</t>
  </si>
  <si>
    <t>Zhangye, China</t>
  </si>
  <si>
    <t>Amarillo, Texes</t>
  </si>
  <si>
    <t>Rundu, Namibia</t>
  </si>
  <si>
    <t>Rome, Italy</t>
  </si>
  <si>
    <t>Bunbury, Australia</t>
  </si>
  <si>
    <t>Patna, India</t>
  </si>
  <si>
    <t>Lusaka, Zambia</t>
  </si>
  <si>
    <t>Antananarivo, Madagascar</t>
  </si>
  <si>
    <t>Hoste Island, Chile</t>
  </si>
  <si>
    <t>Rosario, Argentina</t>
  </si>
  <si>
    <t>Nanchang, China</t>
  </si>
  <si>
    <t>Atlanta, Georgia</t>
  </si>
  <si>
    <t>Paris, Fance</t>
  </si>
  <si>
    <t>Liverpool, England</t>
  </si>
  <si>
    <t>Lushui, China</t>
  </si>
  <si>
    <t>Malatya, Turkey</t>
  </si>
  <si>
    <t>Kalispell, Montana</t>
  </si>
  <si>
    <t>Galena, Alaska</t>
  </si>
  <si>
    <t>Shenyang, China</t>
  </si>
  <si>
    <t>Hailer, China</t>
  </si>
  <si>
    <t>Chita, Russia</t>
  </si>
  <si>
    <t>Fairbanks, Alaska</t>
  </si>
  <si>
    <t>Yakutsk, Russia</t>
  </si>
  <si>
    <t>Lincoln, Nebraska</t>
  </si>
  <si>
    <t>Vologda, Russia</t>
  </si>
  <si>
    <t>Lodz, Poland</t>
  </si>
  <si>
    <t>Prince Albert, Saskatchewan</t>
  </si>
  <si>
    <t>Tura, Russia</t>
  </si>
  <si>
    <t>Cherskiy, Russia</t>
  </si>
  <si>
    <t>Thule, Greenland</t>
  </si>
  <si>
    <t>Konya, Turkey</t>
  </si>
  <si>
    <t>Ottawa, Canada</t>
  </si>
  <si>
    <t>List of Cities Used</t>
  </si>
  <si>
    <t>Climate Classification</t>
  </si>
  <si>
    <t>City, Country</t>
  </si>
  <si>
    <t>Latitude / Longitude</t>
  </si>
  <si>
    <t>Dfb</t>
  </si>
  <si>
    <t>43 33' N / 80 13' W</t>
  </si>
  <si>
    <t>45 23' N/75 43' W</t>
  </si>
  <si>
    <t>43 40' N/79 23' W</t>
  </si>
  <si>
    <t>Cfa</t>
  </si>
  <si>
    <t>35 02' N / 135 43' E</t>
  </si>
  <si>
    <t>43 49' N / 79 10' W</t>
  </si>
  <si>
    <t>ET</t>
  </si>
  <si>
    <t>63 45' N / 68 33' W</t>
  </si>
  <si>
    <t>BSh</t>
  </si>
  <si>
    <t>31 35' N / 74 18' E</t>
  </si>
  <si>
    <t>Af</t>
  </si>
  <si>
    <t>3 45'S / 73 16' W</t>
  </si>
  <si>
    <t>Aw</t>
  </si>
  <si>
    <t>5 53' S / 22 24' E</t>
  </si>
  <si>
    <t>3 08' S /101 41' E</t>
  </si>
  <si>
    <t>Am</t>
  </si>
  <si>
    <t>3 06' S / 60 01' W</t>
  </si>
  <si>
    <t>23 32' S/ 46 38' W</t>
  </si>
  <si>
    <t>13 43' N / 100 28' E</t>
  </si>
  <si>
    <t>BWh</t>
  </si>
  <si>
    <t>23 42' S/133 52'E</t>
  </si>
  <si>
    <t>13 29' N / 2 10' E</t>
  </si>
  <si>
    <t>BWk</t>
  </si>
  <si>
    <t>38 55' N / 100 25'E</t>
  </si>
  <si>
    <t>BSk</t>
  </si>
  <si>
    <t>35 14' N/ 101 42' W</t>
  </si>
  <si>
    <t>17 55' S/ 19 46' E</t>
  </si>
  <si>
    <t>Csa</t>
  </si>
  <si>
    <t>41 48' N/ 12 14' E</t>
  </si>
  <si>
    <t>Csb</t>
  </si>
  <si>
    <t>33 19' S / 115 19' E</t>
  </si>
  <si>
    <t>Cwa</t>
  </si>
  <si>
    <t>25 36'N/85 06'E</t>
  </si>
  <si>
    <t>15 19'S / 28 27' E</t>
  </si>
  <si>
    <t>Cwb</t>
  </si>
  <si>
    <t>18 48' S / 47 29' E</t>
  </si>
  <si>
    <t>Cwc</t>
  </si>
  <si>
    <t>55 03' S/68 09' W</t>
  </si>
  <si>
    <t>32 55' S / 60 47' W</t>
  </si>
  <si>
    <t>28 36' N/ 115 55' E</t>
  </si>
  <si>
    <t>33 39' N / 84 26'W</t>
  </si>
  <si>
    <t>Cfb</t>
  </si>
  <si>
    <t>48 44'N/2 24'E</t>
  </si>
  <si>
    <t>52 23' N/2 51'W</t>
  </si>
  <si>
    <t>Cfc</t>
  </si>
  <si>
    <t>34 04' N / 111 01' E</t>
  </si>
  <si>
    <t>Dsa</t>
  </si>
  <si>
    <t>38 26' N / 38 05' E</t>
  </si>
  <si>
    <t>Dsb</t>
  </si>
  <si>
    <t>48 14' N / 114 16' W</t>
  </si>
  <si>
    <t>Dsc</t>
  </si>
  <si>
    <t>64 43 ' N/155 55' W</t>
  </si>
  <si>
    <t>Dwa</t>
  </si>
  <si>
    <t>41 46'N / 123 26'E</t>
  </si>
  <si>
    <t>Dwb</t>
  </si>
  <si>
    <t>49 09' N / 119 40'E</t>
  </si>
  <si>
    <t>Dwc</t>
  </si>
  <si>
    <t>52 01' N/113 28' E</t>
  </si>
  <si>
    <t>64 49'N/147 52'W</t>
  </si>
  <si>
    <t>Dwd</t>
  </si>
  <si>
    <t>62 05' N /129 45'E</t>
  </si>
  <si>
    <t>Dfa</t>
  </si>
  <si>
    <t>40 51' N/9645'W</t>
  </si>
  <si>
    <t>59 17' N/39 52'E</t>
  </si>
  <si>
    <t>51 44'N / 19 24' E</t>
  </si>
  <si>
    <t>Dfc</t>
  </si>
  <si>
    <t>53 13'N/105 41'W</t>
  </si>
  <si>
    <t>64 16' N/100 15'E</t>
  </si>
  <si>
    <t>Dfd</t>
  </si>
  <si>
    <t>68 48'N/161 17'E</t>
  </si>
  <si>
    <t>EF</t>
  </si>
  <si>
    <t>76 32'N/68 30'W</t>
  </si>
  <si>
    <t>Bsk</t>
  </si>
  <si>
    <t>37 58'N/32 33' E</t>
  </si>
  <si>
    <t>Rc = Rco(-0.37(1-exp(-Vac/0.72)+1)</t>
  </si>
  <si>
    <t>Sweatshirt, sweatpants, socks, shoes</t>
  </si>
  <si>
    <t>Track suit, socks, shoes</t>
  </si>
  <si>
    <t>Tank top, shorts, socks, shoes</t>
  </si>
  <si>
    <t>Sports bra, shorts, socks, running shoes</t>
  </si>
  <si>
    <t>Short sleeve shirt, fitted trousers, socks, shoes</t>
  </si>
  <si>
    <t>Quartz</t>
  </si>
  <si>
    <t>Green Moss (uniform cover)</t>
  </si>
  <si>
    <t>Green moss with stones</t>
  </si>
  <si>
    <t>Black moss</t>
  </si>
  <si>
    <t>Building Material</t>
  </si>
  <si>
    <t>No Building</t>
  </si>
  <si>
    <t>Earthen Wall</t>
  </si>
  <si>
    <t>Wood</t>
  </si>
  <si>
    <t>Wood Painted</t>
  </si>
  <si>
    <t>Albedo</t>
  </si>
  <si>
    <t>Pine</t>
  </si>
  <si>
    <t>Weeping Cherry</t>
  </si>
  <si>
    <t>Japanese Maple</t>
  </si>
  <si>
    <t>Cedar</t>
  </si>
  <si>
    <t>IF Re&gt;40000, A=0.0266, n=0.805, GOTO T</t>
  </si>
  <si>
    <t>4000&gt;= Re &gt;40000,   A=0.618, n=0.193: GOTO T</t>
  </si>
  <si>
    <t>Tsf=((Tsk - Ta)/(Rc + Ra))Ra+Ta</t>
  </si>
  <si>
    <t>Es=0.42*(M-58)</t>
  </si>
  <si>
    <t>Tc=36.5+((0.0043)*M)</t>
  </si>
  <si>
    <t>Against The Wind</t>
  </si>
  <si>
    <t>With The Wind</t>
  </si>
  <si>
    <t>Against the Wind</t>
  </si>
  <si>
    <t>Track and Field (Running Events)</t>
  </si>
  <si>
    <t>Animals</t>
  </si>
  <si>
    <t>Human</t>
  </si>
  <si>
    <t>Lion</t>
  </si>
  <si>
    <t>Tiger</t>
  </si>
  <si>
    <t>HUMAN</t>
  </si>
  <si>
    <t>Human Trees</t>
  </si>
  <si>
    <t>HUMAN  Material</t>
  </si>
  <si>
    <t>Sex</t>
  </si>
  <si>
    <t>Male</t>
  </si>
  <si>
    <t>Female</t>
  </si>
  <si>
    <t>New Concrete</t>
  </si>
  <si>
    <t>White Paint</t>
  </si>
  <si>
    <t>Black Paint</t>
  </si>
  <si>
    <t>Being used in Kabs - AJ4 Rabs Section</t>
  </si>
  <si>
    <t>REFL=(((SWO*SR*ALBGRND)/2)+((SWO*SR*ALBO)/2))</t>
  </si>
  <si>
    <t>Cats Fur</t>
  </si>
  <si>
    <t>Original Colour</t>
  </si>
  <si>
    <t>Darker</t>
  </si>
  <si>
    <t>Lighter</t>
  </si>
  <si>
    <t>Cat Activities</t>
  </si>
  <si>
    <t>Lying Down</t>
  </si>
  <si>
    <t>Running</t>
  </si>
  <si>
    <t>Walking</t>
  </si>
  <si>
    <t>If Solar Radiation absorbed by human is &gt;0</t>
  </si>
  <si>
    <t>If Solar Radiation absorbed by human is =0</t>
  </si>
  <si>
    <t>Sudbury, Ontario</t>
  </si>
  <si>
    <t>Air Temperature (C)</t>
  </si>
  <si>
    <t>Metabolism (W/m2) (from table in book)</t>
  </si>
  <si>
    <t>Relative Humidity (%)</t>
  </si>
  <si>
    <t>Iqaluit (Canada)</t>
  </si>
  <si>
    <r>
      <t xml:space="preserve">Walking (moderate pace, </t>
    </r>
    <r>
      <rPr>
        <u/>
        <sz val="10"/>
        <color indexed="8"/>
        <rFont val="Arial"/>
        <family val="2"/>
      </rPr>
      <t>&lt;</t>
    </r>
    <r>
      <rPr>
        <sz val="10"/>
        <color indexed="8"/>
        <rFont val="Arial"/>
        <family val="2"/>
      </rPr>
      <t>4.8 km/h)</t>
    </r>
  </si>
  <si>
    <r>
      <t xml:space="preserve">Walking (brisk pace, </t>
    </r>
    <r>
      <rPr>
        <u/>
        <sz val="10"/>
        <color indexed="8"/>
        <rFont val="Arial"/>
        <family val="2"/>
      </rPr>
      <t>&gt;</t>
    </r>
    <r>
      <rPr>
        <sz val="10"/>
        <color indexed="8"/>
        <rFont val="Arial"/>
        <family val="2"/>
      </rPr>
      <t>5.6 km/h)</t>
    </r>
  </si>
  <si>
    <r>
      <t>Bicycling (16.0 - 19.2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</si>
  <si>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r>
      <t>Bicycling (22.5 - 25.5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</si>
  <si>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r>
      <t>Bicycling (25.6 - 30.4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</si>
  <si>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r>
      <t>Running (8.4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</si>
  <si>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r>
      <t>Running (11.3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</si>
  <si>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r>
      <t>Running (13.8 km h</t>
    </r>
    <r>
      <rPr>
        <vertAlign val="superscript"/>
        <sz val="10"/>
        <color indexed="8"/>
        <rFont val="Arial"/>
        <family val="2"/>
      </rPr>
      <t>-1</t>
    </r>
    <r>
      <rPr>
        <sz val="10"/>
        <color indexed="8"/>
        <rFont val="Arial"/>
        <family val="2"/>
      </rPr>
      <t>)</t>
    </r>
  </si>
  <si>
    <t>M = (1-f) Ma</t>
  </si>
  <si>
    <t>Gender</t>
  </si>
  <si>
    <t>Age</t>
  </si>
  <si>
    <t>BW</t>
  </si>
  <si>
    <t>BH</t>
  </si>
  <si>
    <t>BMI</t>
  </si>
  <si>
    <t>BSA</t>
  </si>
  <si>
    <t>RMRd (Male)</t>
  </si>
  <si>
    <t>RMRd (Females)</t>
  </si>
  <si>
    <t>RMR (Male)</t>
  </si>
  <si>
    <t>RMR (Female)</t>
  </si>
  <si>
    <t>RMRs</t>
  </si>
  <si>
    <t>AF</t>
  </si>
  <si>
    <t xml:space="preserve">M </t>
  </si>
  <si>
    <t>-</t>
  </si>
  <si>
    <t>(Kg)</t>
  </si>
  <si>
    <t>(m)</t>
  </si>
  <si>
    <t>(no unit)</t>
  </si>
  <si>
    <t>(m2)</t>
  </si>
  <si>
    <t>(Kcal/kg/day)</t>
  </si>
  <si>
    <t>(Kcal/day)</t>
  </si>
  <si>
    <t>(W/kg)</t>
  </si>
  <si>
    <t>(W)</t>
  </si>
  <si>
    <t>(W/m2)</t>
  </si>
  <si>
    <t>Body Weight</t>
  </si>
  <si>
    <t>Body Hight</t>
  </si>
  <si>
    <t>BW/BH^2</t>
  </si>
  <si>
    <t>RMR * 0.0484</t>
  </si>
  <si>
    <t>RMR * 0.0484 * BW</t>
  </si>
  <si>
    <t>Activity Factor</t>
  </si>
  <si>
    <t>Weight (Kg)</t>
  </si>
  <si>
    <t>Height (M)</t>
  </si>
  <si>
    <t>↓</t>
  </si>
  <si>
    <t>Amarillo, Texas</t>
  </si>
  <si>
    <t>OR</t>
  </si>
  <si>
    <t>Use these equeations</t>
  </si>
  <si>
    <t>C</t>
  </si>
  <si>
    <t>→</t>
  </si>
  <si>
    <t xml:space="preserve"> -150 to -50</t>
  </si>
  <si>
    <t xml:space="preserve"> -50 to 50</t>
  </si>
  <si>
    <t>50 - 150</t>
  </si>
  <si>
    <t>&gt; 150</t>
  </si>
  <si>
    <t>←</t>
  </si>
  <si>
    <t>Solar Elevation Calculator (Click)</t>
  </si>
  <si>
    <t>dfa</t>
  </si>
  <si>
    <t>Energy Budget Values (W/m^2)</t>
  </si>
  <si>
    <t>Energy Budget Variable</t>
  </si>
  <si>
    <t>Energy budget 1</t>
  </si>
  <si>
    <t>Energy budget 3</t>
  </si>
  <si>
    <t>Energy budget 5</t>
  </si>
  <si>
    <t>Energy budget 7</t>
  </si>
  <si>
    <t>Energy Additions 
that are Heating 
the Person</t>
  </si>
  <si>
    <t>Energy Losses 
that are Cooling 
the Person</t>
  </si>
  <si>
    <t>This table displays the fluxes (flows) of energy to and from a person's body. By considering the relative size of each you can decide what design modification you might want to make. For example, if the Solar Radiation Received is very high, a design intervention might be to provide shade for the person</t>
  </si>
  <si>
    <t>Energy Budget Interpretation  (W/m^2)</t>
  </si>
  <si>
    <t>1. What the Budget Values mean for a Standing Adult</t>
  </si>
  <si>
    <t>2. What the Budget Values Mean for an Active Athlete</t>
  </si>
  <si>
    <t>&lt; 120</t>
  </si>
  <si>
    <t>Safety</t>
  </si>
  <si>
    <t>121-200</t>
  </si>
  <si>
    <t>Caution</t>
  </si>
  <si>
    <t>201 - 340</t>
  </si>
  <si>
    <t>Dangerous</t>
  </si>
  <si>
    <t>&gt; 341</t>
  </si>
  <si>
    <t>Extremely Dangerous</t>
  </si>
  <si>
    <t>65 - 120</t>
  </si>
  <si>
    <t>Extreme Caution</t>
  </si>
  <si>
    <t xml:space="preserve">   Thermal Response to Microclimate Modification </t>
  </si>
  <si>
    <t>Temperature Conversion</t>
  </si>
  <si>
    <t>Convert between Celsius, Kelvin, and Fahrenheit (Click here)</t>
  </si>
  <si>
    <t>3. What the Budget Values Mean 
for the Heat Health of an Adult</t>
  </si>
  <si>
    <t>Energy Budget</t>
  </si>
  <si>
    <t>EB 1</t>
  </si>
  <si>
    <t>EB 3</t>
  </si>
  <si>
    <r>
      <t>Solar Radiations Received (</t>
    </r>
    <r>
      <rPr>
        <b/>
        <sz val="11"/>
        <rFont val="Arial"/>
        <family val="2"/>
      </rPr>
      <t>Kabs</t>
    </r>
    <r>
      <rPr>
        <sz val="11"/>
        <rFont val="Arial"/>
        <family val="2"/>
      </rPr>
      <t>)</t>
    </r>
  </si>
  <si>
    <r>
      <t>Terrestrial Radiation Received (</t>
    </r>
    <r>
      <rPr>
        <b/>
        <sz val="11"/>
        <rFont val="Arial"/>
        <family val="2"/>
      </rPr>
      <t>Labs</t>
    </r>
    <r>
      <rPr>
        <sz val="11"/>
        <rFont val="Arial"/>
        <family val="2"/>
      </rPr>
      <t>)</t>
    </r>
  </si>
  <si>
    <r>
      <t>Total Radiation Received (</t>
    </r>
    <r>
      <rPr>
        <b/>
        <sz val="11"/>
        <rFont val="Arial"/>
        <family val="2"/>
      </rPr>
      <t>Rabs</t>
    </r>
    <r>
      <rPr>
        <sz val="11"/>
        <rFont val="Arial"/>
        <family val="2"/>
      </rPr>
      <t>)</t>
    </r>
  </si>
  <si>
    <r>
      <t>Energy Generated Inside the Body (</t>
    </r>
    <r>
      <rPr>
        <b/>
        <sz val="11"/>
        <rFont val="Arial"/>
        <family val="2"/>
      </rPr>
      <t>M</t>
    </r>
    <r>
      <rPr>
        <sz val="11"/>
        <rFont val="Arial"/>
        <family val="2"/>
      </rPr>
      <t>)</t>
    </r>
  </si>
  <si>
    <r>
      <t>Energy Lost Due to the Wind  (</t>
    </r>
    <r>
      <rPr>
        <b/>
        <sz val="11"/>
        <rFont val="Arial"/>
        <family val="2"/>
      </rPr>
      <t>CONV</t>
    </r>
    <r>
      <rPr>
        <sz val="11"/>
        <rFont val="Arial"/>
        <family val="2"/>
      </rPr>
      <t>)</t>
    </r>
  </si>
  <si>
    <r>
      <t>Energy Lost Due to Perspiring (</t>
    </r>
    <r>
      <rPr>
        <b/>
        <sz val="11"/>
        <rFont val="Arial"/>
        <family val="2"/>
      </rPr>
      <t>Evap</t>
    </r>
    <r>
      <rPr>
        <sz val="11"/>
        <rFont val="Arial"/>
        <family val="2"/>
      </rPr>
      <t>)</t>
    </r>
  </si>
  <si>
    <r>
      <t>Terrestrial Radiation Emitted 
from the Person (</t>
    </r>
    <r>
      <rPr>
        <b/>
        <sz val="11"/>
        <rFont val="Arial"/>
        <family val="2"/>
      </rPr>
      <t>Lemit</t>
    </r>
    <r>
      <rPr>
        <sz val="11"/>
        <rFont val="Arial"/>
        <family val="2"/>
      </rPr>
      <t>)</t>
    </r>
  </si>
  <si>
    <t>Total</t>
  </si>
  <si>
    <t>25.41*(BMI)^-0.2115</t>
  </si>
  <si>
    <t>21.09*(BMI)^-0.1786</t>
  </si>
  <si>
    <t>25.41*(BMI)^-0.2115*BW</t>
  </si>
  <si>
    <r>
      <t>((</t>
    </r>
    <r>
      <rPr>
        <sz val="10"/>
        <color rgb="FF0070C0"/>
        <rFont val="Arial"/>
        <family val="2"/>
      </rPr>
      <t>BW</t>
    </r>
    <r>
      <rPr>
        <sz val="10"/>
        <color theme="1"/>
        <rFont val="Arial"/>
        <family val="2"/>
      </rPr>
      <t>x(</t>
    </r>
    <r>
      <rPr>
        <sz val="10"/>
        <color rgb="FF0070C0"/>
        <rFont val="Arial"/>
        <family val="2"/>
      </rPr>
      <t>BH</t>
    </r>
    <r>
      <rPr>
        <sz val="10"/>
        <color theme="1"/>
        <rFont val="Arial"/>
        <family val="2"/>
      </rPr>
      <t>x100))/3600)^0.5</t>
    </r>
  </si>
  <si>
    <t>Watt</t>
  </si>
  <si>
    <t>Per Day</t>
  </si>
  <si>
    <t>Per Hour</t>
  </si>
  <si>
    <r>
      <t xml:space="preserve">The Harris–Benedict equations revised by </t>
    </r>
    <r>
      <rPr>
        <b/>
        <sz val="10"/>
        <color rgb="FFC00000"/>
        <rFont val="Arial"/>
        <family val="2"/>
      </rPr>
      <t xml:space="preserve">Mifflin and St Jeor </t>
    </r>
    <r>
      <rPr>
        <b/>
        <sz val="10"/>
        <rFont val="Arial"/>
        <family val="2"/>
      </rPr>
      <t>in 1990</t>
    </r>
  </si>
  <si>
    <t>293*BW^0.4330 - (5.92*age)</t>
  </si>
  <si>
    <t>248*BW^0.4356 - (5.09*age)</t>
  </si>
  <si>
    <t>(RMR * 0.0484 * BW)/BSA</t>
  </si>
  <si>
    <t>(293*BW^0.4330 - (5.92*age))/BW</t>
  </si>
  <si>
    <t>(248*BW^0.4356 - (5.09*age))/BW</t>
  </si>
  <si>
    <t>RMR - Male (Kcal)</t>
  </si>
  <si>
    <t>RMR - Female (Kcal)</t>
  </si>
  <si>
    <r>
      <t>The</t>
    </r>
    <r>
      <rPr>
        <sz val="10"/>
        <color rgb="FFC00000"/>
        <rFont val="Arial"/>
        <family val="2"/>
      </rPr>
      <t xml:space="preserve"> original Harris–Benedict equations</t>
    </r>
    <r>
      <rPr>
        <sz val="10"/>
        <rFont val="Arial"/>
        <family val="2"/>
      </rPr>
      <t xml:space="preserve"> published in 1918 and 1919</t>
    </r>
  </si>
  <si>
    <r>
      <t xml:space="preserve">The Harris–Benedict equations revised by </t>
    </r>
    <r>
      <rPr>
        <sz val="10"/>
        <color rgb="FFC00000"/>
        <rFont val="Arial"/>
        <family val="2"/>
      </rPr>
      <t>Roza and Shizgal</t>
    </r>
    <r>
      <rPr>
        <sz val="10"/>
        <rFont val="Arial"/>
        <family val="2"/>
      </rPr>
      <t xml:space="preserve"> in 1984</t>
    </r>
  </si>
  <si>
    <t>(sky)</t>
  </si>
  <si>
    <t>(ceiling)</t>
  </si>
  <si>
    <t>(ground)</t>
  </si>
  <si>
    <t>ELRAD=EL*RAD</t>
  </si>
  <si>
    <t>SWPLT=((1-DIFFD)*SWO)/TAN(ELRAD))</t>
  </si>
  <si>
    <t>Same</t>
  </si>
  <si>
    <t xml:space="preserve">   3. Weight &amp; Height</t>
  </si>
  <si>
    <t xml:space="preserve">   4. Age &amp; Gender</t>
  </si>
  <si>
    <t xml:space="preserve">What is the Weight (kg)?  </t>
  </si>
  <si>
    <t xml:space="preserve">What is the Height (m)?  </t>
  </si>
  <si>
    <t xml:space="preserve">What is the Age?  </t>
  </si>
  <si>
    <t xml:space="preserve">What is the Gender?  </t>
  </si>
  <si>
    <r>
      <t xml:space="preserve">What is the </t>
    </r>
    <r>
      <rPr>
        <b/>
        <sz val="11"/>
        <rFont val="Arial"/>
        <family val="2"/>
      </rPr>
      <t>Solar Elevation?</t>
    </r>
  </si>
  <si>
    <r>
      <t xml:space="preserve">What is the </t>
    </r>
    <r>
      <rPr>
        <b/>
        <sz val="11"/>
        <rFont val="Arial"/>
        <family val="2"/>
      </rPr>
      <t xml:space="preserve">Person Wearing?    </t>
    </r>
  </si>
  <si>
    <r>
      <t xml:space="preserve">What is the </t>
    </r>
    <r>
      <rPr>
        <b/>
        <sz val="11"/>
        <rFont val="Arial"/>
        <family val="2"/>
      </rPr>
      <t xml:space="preserve">Person Doing?    </t>
    </r>
  </si>
  <si>
    <t xml:space="preserve">   5. Microclimate Modification</t>
  </si>
  <si>
    <r>
      <t xml:space="preserve">    2. </t>
    </r>
    <r>
      <rPr>
        <b/>
        <sz val="12"/>
        <rFont val="Arial Black"/>
        <family val="2"/>
      </rPr>
      <t xml:space="preserve">Clothing &amp; Activity </t>
    </r>
  </si>
  <si>
    <r>
      <t xml:space="preserve">What is the </t>
    </r>
    <r>
      <rPr>
        <b/>
        <sz val="11"/>
        <rFont val="Arial"/>
        <family val="2"/>
      </rPr>
      <t>Relative Humidity (%)?</t>
    </r>
  </si>
  <si>
    <r>
      <t xml:space="preserve">What is the </t>
    </r>
    <r>
      <rPr>
        <b/>
        <sz val="11"/>
        <rFont val="Arial"/>
        <family val="2"/>
      </rPr>
      <t>Solar Radiation (W/m2)?</t>
    </r>
  </si>
  <si>
    <r>
      <t xml:space="preserve">What is the </t>
    </r>
    <r>
      <rPr>
        <b/>
        <sz val="11"/>
        <rFont val="Arial"/>
        <family val="2"/>
      </rPr>
      <t>Wind Speed (m/s)?</t>
    </r>
  </si>
  <si>
    <t>What is the Air Temperature (C)?</t>
  </si>
  <si>
    <t xml:space="preserve">       1. In the following section you be given a number of questions and options to choose from. 
            Choose the best available answer. 
       2. This will calculate the human- and non-human animal energy budget for particular situation. 
       3. After each question click on the colored square and pick an option from the drop-down arrow. 
       4. Top half of form is for prevailing conditions. 
       5. Bottom half is for site conditions.</t>
  </si>
  <si>
    <t>BSA = ((BWx(BHx100))/3600)0.5</t>
  </si>
  <si>
    <t xml:space="preserve">    &lt;Solar Radiation&gt;</t>
  </si>
  <si>
    <t xml:space="preserve">Species of Tree        </t>
  </si>
  <si>
    <t xml:space="preserve">Condition of tree (Healthy-leafy)  </t>
  </si>
  <si>
    <t xml:space="preserve">      + Add shade (tree)</t>
  </si>
  <si>
    <t>Number of trees</t>
  </si>
  <si>
    <t>"Under Development"</t>
  </si>
  <si>
    <t>Type of overhang structure</t>
  </si>
  <si>
    <t>Solid overhang (0% transmission)</t>
  </si>
  <si>
    <t>Umbrella (50% transmission)</t>
  </si>
  <si>
    <t>Trellis (30% transmission)</t>
  </si>
  <si>
    <t xml:space="preserve">      + Add shade (structure)</t>
  </si>
  <si>
    <t xml:space="preserve">Type of vertical surface  </t>
  </si>
  <si>
    <t>H/W</t>
  </si>
  <si>
    <t>One-sided wall</t>
  </si>
  <si>
    <t>Two-sided wall (canyon)</t>
  </si>
  <si>
    <t xml:space="preserve">Type of vertical surface material   </t>
  </si>
  <si>
    <r>
      <t xml:space="preserve">Type of ground material 
</t>
    </r>
    <r>
      <rPr>
        <sz val="10"/>
        <rFont val="Arial Nova"/>
        <family val="2"/>
      </rPr>
      <t xml:space="preserve">(Grass is default ground cover)   </t>
    </r>
  </si>
  <si>
    <t xml:space="preserve">      + Change ground albedo</t>
  </si>
  <si>
    <t xml:space="preserve">Activity level  </t>
  </si>
  <si>
    <t xml:space="preserve">      + Change the activity     </t>
  </si>
  <si>
    <t xml:space="preserve">    &lt;Metabolism&gt;</t>
  </si>
  <si>
    <t xml:space="preserve">Reduce or Increase the 
wind speed through windbreak or fan   </t>
  </si>
  <si>
    <t xml:space="preserve">Put more clothes on or take some off     </t>
  </si>
  <si>
    <t xml:space="preserve">Change the color of the clothing?     </t>
  </si>
  <si>
    <t>Reduce or Increase the Wind Speed 
through windbreak or fan</t>
  </si>
  <si>
    <t>Reduce: Low porosity windbreak (60% of full wind speed)</t>
  </si>
  <si>
    <t>Reduce:Moderate porosity windbreak (50% of full wind speed)</t>
  </si>
  <si>
    <t>Reduce:High porosity windbreak (40% of full wind speed)</t>
  </si>
  <si>
    <t>Increase: Add a light breeze (2.0 m/s)</t>
  </si>
  <si>
    <t>Increase: Add a moderate breeze (6.0 m/s)</t>
  </si>
  <si>
    <t>Increase: Add a strong breeze (10 m/s)</t>
  </si>
  <si>
    <t>Reduce the wind through the use of a windbreak</t>
  </si>
  <si>
    <t>Wind speed</t>
  </si>
  <si>
    <t xml:space="preserve">      + Change wind speed</t>
  </si>
  <si>
    <t xml:space="preserve">      + Change clothing</t>
  </si>
  <si>
    <t xml:space="preserve">    &lt;Convection&gt;</t>
  </si>
  <si>
    <t>DIFFS=(DIFFP*SWO/100)
=DIFFD*SWO</t>
  </si>
  <si>
    <t>pi</t>
  </si>
  <si>
    <t>Part 1 _ In the open</t>
  </si>
  <si>
    <t>Part 2 _ With Other Conditions</t>
  </si>
  <si>
    <r>
      <t xml:space="preserve">   Human Thermal Comfort </t>
    </r>
    <r>
      <rPr>
        <sz val="14"/>
        <rFont val="Arial Black"/>
        <family val="2"/>
      </rPr>
      <t>(Select &amp; type)</t>
    </r>
  </si>
  <si>
    <r>
      <t xml:space="preserve">    1. Micr</t>
    </r>
    <r>
      <rPr>
        <sz val="11"/>
        <rFont val="Arial Black"/>
        <family val="2"/>
      </rPr>
      <t xml:space="preserve">oclimate Condition </t>
    </r>
    <r>
      <rPr>
        <b/>
        <sz val="11"/>
        <rFont val="Arial Black"/>
        <family val="2"/>
      </rPr>
      <t xml:space="preserve">
</t>
    </r>
    <r>
      <rPr>
        <sz val="11"/>
        <rFont val="Arial Black"/>
        <family val="2"/>
      </rPr>
      <t xml:space="preserve">      </t>
    </r>
    <r>
      <rPr>
        <b/>
        <sz val="11"/>
        <rFont val="Arial Black"/>
        <family val="2"/>
      </rPr>
      <t xml:space="preserve">   </t>
    </r>
    <r>
      <rPr>
        <b/>
        <i/>
        <sz val="11"/>
        <rFont val="Arial Black"/>
        <family val="2"/>
      </rPr>
      <t xml:space="preserve">    </t>
    </r>
    <r>
      <rPr>
        <b/>
        <i/>
        <sz val="11"/>
        <rFont val="Arial"/>
        <family val="2"/>
      </rPr>
      <t xml:space="preserve"> (Type your data)</t>
    </r>
  </si>
  <si>
    <t xml:space="preserve">  * Energy budget 1 (W/m^2)</t>
  </si>
  <si>
    <t xml:space="preserve">  * Energy budget 3 with Microclimate Modification (W/m^2)</t>
  </si>
  <si>
    <t>* Energy budget 4 with Microclimate Modification + Physical Characteristics (W/m^2)</t>
  </si>
  <si>
    <t>* Energy budget 2 with physical characteristics (W/m^2)</t>
  </si>
  <si>
    <t>EB 2</t>
  </si>
  <si>
    <t>EB 4</t>
  </si>
  <si>
    <t>Resistance of Tissue</t>
  </si>
  <si>
    <t>Core temperature</t>
  </si>
  <si>
    <t>Skin temperature</t>
  </si>
  <si>
    <t xml:space="preserve"> Reynolds Number</t>
  </si>
  <si>
    <t>Aerodynamic resistance s/m</t>
  </si>
  <si>
    <t>Clothing resistance s/m</t>
  </si>
  <si>
    <t>Solar Radiation received by vertical flat plate</t>
  </si>
  <si>
    <t>Solar radiation received by vertical cylinder</t>
  </si>
  <si>
    <t>Terrestrial Radiation Received by a person</t>
  </si>
  <si>
    <t>Solar Radiation Received by a person</t>
  </si>
  <si>
    <t>Total Radiation received by a person</t>
  </si>
  <si>
    <t>Basic Energy Budget</t>
  </si>
  <si>
    <t>Based on activity</t>
  </si>
  <si>
    <t>f</t>
  </si>
  <si>
    <t>E</t>
  </si>
  <si>
    <t xml:space="preserve"> Ambient vapour Pressure (e)</t>
  </si>
  <si>
    <t>Heat loss consumed through breathing</t>
  </si>
  <si>
    <t>Metabolic Heat</t>
  </si>
  <si>
    <t>Tsf</t>
  </si>
  <si>
    <t xml:space="preserve"> Outer Surface Temperature of body</t>
  </si>
  <si>
    <t>Radiation Abosrbed by the person (W/m2)</t>
  </si>
  <si>
    <t>Humidtiy</t>
  </si>
  <si>
    <t>H</t>
  </si>
  <si>
    <t>Insulation Value of Clothing (s/m) (from table in book)</t>
  </si>
  <si>
    <t>Static Clothing Resistance</t>
  </si>
  <si>
    <t>Static Clothing Vapour Resistance</t>
  </si>
  <si>
    <t>Clothing Resistance</t>
  </si>
  <si>
    <t>Clothing Vapour Resistance</t>
  </si>
  <si>
    <t>Albedo of Clothing or Coat (%)</t>
  </si>
  <si>
    <t>Transmissivity of Objects between person and sun</t>
  </si>
  <si>
    <r>
      <t xml:space="preserve">Walking (moderate pace,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>4.8 km/h)</t>
    </r>
  </si>
  <si>
    <r>
      <t xml:space="preserve">Walking (brisk pace,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>5.6 km/h)</t>
    </r>
  </si>
  <si>
    <r>
      <t>Bicycling (16.0 - 19.2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</si>
  <si>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Bicycling (22.5 - 25.5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</si>
  <si>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Bicycling (25.6 - 30.4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</si>
  <si>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Running (8.4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</si>
  <si>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Running (11.3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</si>
  <si>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Running (13.8 km 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</si>
  <si>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t>Specific humidity at skin temperautre</t>
  </si>
  <si>
    <t>Evaporative heat loss through diffusion</t>
  </si>
  <si>
    <t>Maximal evaporative heat loss</t>
  </si>
  <si>
    <t>Evaporative heat loss through sweat</t>
  </si>
  <si>
    <r>
      <t xml:space="preserve"> COMFA </t>
    </r>
    <r>
      <rPr>
        <sz val="11"/>
        <rFont val="Arial"/>
        <family val="2"/>
      </rPr>
      <t>(You input your own data)</t>
    </r>
  </si>
  <si>
    <t>[ 06.2020 Version ]</t>
  </si>
  <si>
    <t>What is the Transmissivity of Objects
between Person and Sun (%)?</t>
    <phoneticPr fontId="9" type="noConversion"/>
  </si>
  <si>
    <r>
      <t xml:space="preserve">Distance from the tree   
</t>
    </r>
    <r>
      <rPr>
        <sz val="10"/>
        <rFont val="Arial Nova"/>
        <family val="2"/>
      </rPr>
      <t xml:space="preserve">(What percentage of the sky is visible?)       </t>
    </r>
    <phoneticPr fontId="9" type="noConversion"/>
  </si>
  <si>
    <t>LABS=(((TOTAL+(SVF*LONGS))*0.5)+(LRGD*0.5))*0.98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</si>
</sst>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7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name val="Arial"/>
      <family val="2"/>
    </font>
    <font>
      <sz val="11"/>
      <name val="Times New Roman"/>
      <family val="1"/>
    </font>
    <font>
      <b/>
      <i/>
      <u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u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rgb="FF0070C0"/>
      <name val="Arial"/>
      <family val="2"/>
    </font>
    <font>
      <b/>
      <i/>
      <sz val="10"/>
      <color indexed="8"/>
      <name val="Arial"/>
      <family val="2"/>
    </font>
    <font>
      <sz val="10"/>
      <color rgb="FFC0000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i/>
      <sz val="12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name val="Calibri"/>
      <family val="2"/>
    </font>
    <font>
      <sz val="10"/>
      <color theme="0" tint="-0.499984740745262"/>
      <name val="Arial"/>
      <family val="2"/>
      <charset val="129"/>
    </font>
    <font>
      <sz val="10"/>
      <color theme="0" tint="-0.499984740745262"/>
      <name val="Arial"/>
      <family val="2"/>
    </font>
    <font>
      <sz val="10"/>
      <color theme="0" tint="-0.499984740745262"/>
      <name val="Calibri"/>
      <family val="2"/>
      <charset val="129"/>
    </font>
    <font>
      <b/>
      <sz val="20"/>
      <name val="Calibri"/>
      <family val="2"/>
    </font>
    <font>
      <b/>
      <u/>
      <sz val="16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0" tint="-0.49998474074526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rgb="FF0070C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0070C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theme="0" tint="-0.499984740745262"/>
      <name val="Calibri"/>
      <family val="2"/>
    </font>
    <font>
      <i/>
      <sz val="10"/>
      <color theme="0" tint="-0.499984740745262"/>
      <name val="Arial"/>
      <family val="2"/>
      <charset val="129"/>
    </font>
    <font>
      <b/>
      <sz val="36"/>
      <name val="Arial Black"/>
      <family val="2"/>
    </font>
    <font>
      <b/>
      <sz val="20"/>
      <name val="Arial Black"/>
      <family val="2"/>
    </font>
    <font>
      <sz val="14"/>
      <name val="Arial Black"/>
      <family val="2"/>
    </font>
    <font>
      <b/>
      <sz val="11"/>
      <name val="Arial Nova"/>
      <family val="2"/>
    </font>
    <font>
      <b/>
      <sz val="11"/>
      <name val="Arial Black"/>
      <family val="2"/>
    </font>
    <font>
      <sz val="11"/>
      <name val="Arial Nova"/>
      <family val="2"/>
    </font>
    <font>
      <b/>
      <sz val="12"/>
      <name val="Arial Black"/>
      <family val="2"/>
    </font>
    <font>
      <sz val="11"/>
      <name val="Arial Black"/>
      <family val="2"/>
    </font>
    <font>
      <sz val="11"/>
      <color theme="1"/>
      <name val="Arial"/>
      <family val="2"/>
    </font>
    <font>
      <sz val="10"/>
      <name val="Arial Nova"/>
      <family val="2"/>
    </font>
    <font>
      <b/>
      <sz val="18"/>
      <name val="Arial Black"/>
      <family val="2"/>
    </font>
    <font>
      <b/>
      <i/>
      <sz val="11"/>
      <name val="Arial Black"/>
      <family val="2"/>
    </font>
    <font>
      <b/>
      <i/>
      <sz val="11"/>
      <name val="Arial"/>
      <family val="2"/>
    </font>
    <font>
      <b/>
      <sz val="14"/>
      <name val="Arial Black"/>
      <family val="2"/>
    </font>
    <font>
      <u/>
      <sz val="11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9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9" fillId="0" borderId="0" applyNumberFormat="0" applyFill="0" applyBorder="0" applyAlignment="0" applyProtection="0"/>
  </cellStyleXfs>
  <cellXfs count="386"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76" fontId="15" fillId="0" borderId="2" xfId="0" applyNumberFormat="1" applyFont="1" applyBorder="1"/>
    <xf numFmtId="0" fontId="15" fillId="0" borderId="2" xfId="0" applyFont="1" applyBorder="1" applyAlignment="1">
      <alignment wrapText="1"/>
    </xf>
    <xf numFmtId="176" fontId="15" fillId="0" borderId="2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2" fontId="15" fillId="0" borderId="2" xfId="0" applyNumberFormat="1" applyFont="1" applyBorder="1" applyAlignment="1">
      <alignment wrapText="1"/>
    </xf>
    <xf numFmtId="176" fontId="15" fillId="0" borderId="7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7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8" borderId="0" xfId="0" applyFont="1" applyFill="1" applyAlignment="1">
      <alignment horizontal="left" vertical="center" wrapText="1"/>
    </xf>
    <xf numFmtId="1" fontId="12" fillId="0" borderId="0" xfId="7" applyNumberFormat="1" applyFont="1" applyAlignment="1">
      <alignment horizontal="left" vertical="center" wrapText="1"/>
    </xf>
    <xf numFmtId="0" fontId="11" fillId="0" borderId="0" xfId="7" applyFont="1" applyAlignment="1">
      <alignment horizontal="left" vertical="center" wrapText="1"/>
    </xf>
    <xf numFmtId="2" fontId="11" fillId="0" borderId="0" xfId="7" applyNumberFormat="1" applyFont="1" applyAlignment="1">
      <alignment horizontal="left" vertical="center" wrapText="1"/>
    </xf>
    <xf numFmtId="1" fontId="11" fillId="0" borderId="0" xfId="7" applyNumberFormat="1" applyFont="1" applyAlignment="1">
      <alignment horizontal="left" vertical="center" wrapText="1"/>
    </xf>
    <xf numFmtId="2" fontId="12" fillId="0" borderId="0" xfId="7" applyNumberFormat="1" applyFont="1" applyAlignment="1">
      <alignment horizontal="left" vertical="center" wrapText="1"/>
    </xf>
    <xf numFmtId="0" fontId="27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2" fillId="0" borderId="2" xfId="6" applyNumberFormat="1" applyFont="1" applyBorder="1" applyAlignment="1">
      <alignment horizontal="center" vertical="center" wrapText="1"/>
    </xf>
    <xf numFmtId="2" fontId="12" fillId="0" borderId="2" xfId="6" applyNumberFormat="1" applyFont="1" applyBorder="1" applyAlignment="1">
      <alignment horizontal="center" vertical="center" wrapText="1"/>
    </xf>
    <xf numFmtId="176" fontId="12" fillId="0" borderId="2" xfId="6" applyNumberFormat="1" applyFont="1" applyBorder="1" applyAlignment="1">
      <alignment horizontal="center" vertical="center" wrapText="1"/>
    </xf>
    <xf numFmtId="0" fontId="12" fillId="0" borderId="2" xfId="6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" fontId="12" fillId="0" borderId="0" xfId="6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2" fontId="1" fillId="9" borderId="2" xfId="0" applyNumberFormat="1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4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/>
    </xf>
    <xf numFmtId="0" fontId="35" fillId="0" borderId="25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6" applyFont="1" applyAlignment="1">
      <alignment horizontal="left" vertical="center" wrapText="1"/>
    </xf>
    <xf numFmtId="1" fontId="11" fillId="0" borderId="0" xfId="6" applyNumberFormat="1" applyFont="1" applyAlignment="1">
      <alignment horizontal="left" vertical="center" wrapText="1"/>
    </xf>
    <xf numFmtId="0" fontId="1" fillId="0" borderId="0" xfId="8" applyFont="1" applyBorder="1" applyAlignment="1">
      <alignment horizontal="center" vertical="center"/>
    </xf>
    <xf numFmtId="0" fontId="0" fillId="0" borderId="22" xfId="0" applyBorder="1"/>
    <xf numFmtId="0" fontId="21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 wrapText="1"/>
    </xf>
    <xf numFmtId="0" fontId="12" fillId="0" borderId="0" xfId="6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1" fontId="11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2" fontId="37" fillId="0" borderId="24" xfId="0" applyNumberFormat="1" applyFont="1" applyBorder="1" applyAlignment="1">
      <alignment horizontal="center" vertical="center"/>
    </xf>
    <xf numFmtId="2" fontId="37" fillId="0" borderId="25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2" fontId="37" fillId="0" borderId="26" xfId="0" applyNumberFormat="1" applyFont="1" applyBorder="1" applyAlignment="1">
      <alignment horizontal="center" vertical="center"/>
    </xf>
    <xf numFmtId="2" fontId="37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41" fillId="0" borderId="25" xfId="0" applyFont="1" applyBorder="1" applyAlignment="1">
      <alignment horizontal="center" vertical="center"/>
    </xf>
    <xf numFmtId="0" fontId="42" fillId="0" borderId="0" xfId="0" applyFont="1"/>
    <xf numFmtId="0" fontId="28" fillId="0" borderId="0" xfId="0" applyFont="1"/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25" xfId="0" applyFont="1" applyBorder="1" applyAlignment="1">
      <alignment horizontal="right"/>
    </xf>
    <xf numFmtId="0" fontId="45" fillId="0" borderId="2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0" xfId="0" applyFont="1"/>
    <xf numFmtId="0" fontId="6" fillId="0" borderId="0" xfId="0" applyFont="1"/>
    <xf numFmtId="0" fontId="45" fillId="0" borderId="0" xfId="0" applyFont="1" applyAlignment="1">
      <alignment horizontal="right"/>
    </xf>
    <xf numFmtId="1" fontId="45" fillId="0" borderId="0" xfId="0" applyNumberFormat="1" applyFont="1"/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5" fillId="0" borderId="21" xfId="0" applyFont="1" applyBorder="1"/>
    <xf numFmtId="0" fontId="6" fillId="8" borderId="54" xfId="0" applyFont="1" applyFill="1" applyBorder="1" applyAlignment="1">
      <alignment horizontal="center" vertical="center"/>
    </xf>
    <xf numFmtId="0" fontId="6" fillId="8" borderId="55" xfId="0" applyFont="1" applyFill="1" applyBorder="1" applyAlignment="1">
      <alignment horizontal="center" vertical="center" wrapText="1"/>
    </xf>
    <xf numFmtId="0" fontId="45" fillId="15" borderId="17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right"/>
    </xf>
    <xf numFmtId="0" fontId="47" fillId="5" borderId="50" xfId="0" applyFont="1" applyFill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8" fillId="4" borderId="37" xfId="0" applyFont="1" applyFill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8" fillId="3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8" fillId="4" borderId="50" xfId="0" applyFont="1" applyFill="1" applyBorder="1" applyAlignment="1">
      <alignment horizontal="center" vertical="center"/>
    </xf>
    <xf numFmtId="0" fontId="48" fillId="10" borderId="50" xfId="0" applyFont="1" applyFill="1" applyBorder="1" applyAlignment="1">
      <alignment horizontal="center" vertical="center"/>
    </xf>
    <xf numFmtId="0" fontId="48" fillId="9" borderId="3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6" fillId="8" borderId="61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1" fontId="45" fillId="0" borderId="2" xfId="0" applyNumberFormat="1" applyFont="1" applyBorder="1" applyAlignment="1">
      <alignment horizontal="center" vertical="center"/>
    </xf>
    <xf numFmtId="1" fontId="45" fillId="0" borderId="5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2" fontId="22" fillId="0" borderId="53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0" fillId="11" borderId="42" xfId="0" applyFont="1" applyFill="1" applyBorder="1" applyAlignment="1">
      <alignment horizontal="center" vertical="center"/>
    </xf>
    <xf numFmtId="0" fontId="50" fillId="11" borderId="33" xfId="0" applyFont="1" applyFill="1" applyBorder="1" applyAlignment="1">
      <alignment horizontal="center" vertical="center"/>
    </xf>
    <xf numFmtId="0" fontId="51" fillId="11" borderId="33" xfId="0" applyFont="1" applyFill="1" applyBorder="1" applyAlignment="1">
      <alignment horizontal="center" vertical="center"/>
    </xf>
    <xf numFmtId="0" fontId="51" fillId="11" borderId="40" xfId="0" applyFont="1" applyFill="1" applyBorder="1" applyAlignment="1">
      <alignment horizontal="center" vertical="center"/>
    </xf>
    <xf numFmtId="0" fontId="50" fillId="11" borderId="41" xfId="0" applyFont="1" applyFill="1" applyBorder="1" applyAlignment="1">
      <alignment horizontal="center" vertical="center"/>
    </xf>
    <xf numFmtId="0" fontId="50" fillId="11" borderId="5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22" fillId="12" borderId="45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3" fillId="11" borderId="4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11" borderId="42" xfId="0" applyFont="1" applyFill="1" applyBorder="1" applyAlignment="1">
      <alignment horizontal="center" vertical="center"/>
    </xf>
    <xf numFmtId="0" fontId="53" fillId="11" borderId="33" xfId="0" applyFont="1" applyFill="1" applyBorder="1" applyAlignment="1">
      <alignment horizontal="center" vertical="center"/>
    </xf>
    <xf numFmtId="0" fontId="53" fillId="11" borderId="43" xfId="0" applyFont="1" applyFill="1" applyBorder="1" applyAlignment="1">
      <alignment horizontal="center" vertical="center"/>
    </xf>
    <xf numFmtId="0" fontId="38" fillId="9" borderId="46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2" fontId="52" fillId="9" borderId="46" xfId="0" applyNumberFormat="1" applyFont="1" applyFill="1" applyBorder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2" fontId="52" fillId="9" borderId="38" xfId="0" applyNumberFormat="1" applyFont="1" applyFill="1" applyBorder="1" applyAlignment="1">
      <alignment horizontal="center" vertical="center"/>
    </xf>
    <xf numFmtId="2" fontId="53" fillId="9" borderId="47" xfId="0" applyNumberFormat="1" applyFont="1" applyFill="1" applyBorder="1" applyAlignment="1">
      <alignment horizontal="center" vertical="center"/>
    </xf>
    <xf numFmtId="2" fontId="52" fillId="9" borderId="47" xfId="0" applyNumberFormat="1" applyFont="1" applyFill="1" applyBorder="1" applyAlignment="1">
      <alignment horizontal="center" vertical="center"/>
    </xf>
    <xf numFmtId="0" fontId="52" fillId="9" borderId="47" xfId="0" applyFont="1" applyFill="1" applyBorder="1" applyAlignment="1">
      <alignment horizontal="center" vertical="center"/>
    </xf>
    <xf numFmtId="2" fontId="52" fillId="9" borderId="44" xfId="0" applyNumberFormat="1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9" borderId="45" xfId="0" applyNumberFormat="1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176" fontId="2" fillId="9" borderId="29" xfId="0" applyNumberFormat="1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176" fontId="2" fillId="9" borderId="2" xfId="0" applyNumberFormat="1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176" fontId="2" fillId="9" borderId="47" xfId="0" applyNumberFormat="1" applyFont="1" applyFill="1" applyBorder="1" applyAlignment="1">
      <alignment horizontal="center" vertical="center"/>
    </xf>
    <xf numFmtId="176" fontId="1" fillId="9" borderId="47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57" fillId="14" borderId="30" xfId="0" applyFont="1" applyFill="1" applyBorder="1" applyAlignment="1">
      <alignment vertical="center"/>
    </xf>
    <xf numFmtId="0" fontId="57" fillId="14" borderId="31" xfId="0" applyFont="1" applyFill="1" applyBorder="1" applyAlignment="1">
      <alignment vertical="center"/>
    </xf>
    <xf numFmtId="0" fontId="57" fillId="14" borderId="32" xfId="0" applyFont="1" applyFill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4" fillId="10" borderId="2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34" fillId="3" borderId="21" xfId="0" applyFont="1" applyFill="1" applyBorder="1" applyAlignment="1">
      <alignment horizontal="center" vertical="center"/>
    </xf>
    <xf numFmtId="0" fontId="34" fillId="3" borderId="21" xfId="0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24" xfId="0" applyFont="1" applyBorder="1" applyAlignment="1">
      <alignment horizontal="left" vertical="center"/>
    </xf>
    <xf numFmtId="0" fontId="3" fillId="0" borderId="0" xfId="0" applyFont="1"/>
    <xf numFmtId="0" fontId="60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" fillId="0" borderId="22" xfId="0" applyFont="1" applyBorder="1"/>
    <xf numFmtId="0" fontId="3" fillId="0" borderId="28" xfId="0" applyFont="1" applyBorder="1"/>
    <xf numFmtId="0" fontId="0" fillId="0" borderId="23" xfId="0" applyBorder="1"/>
    <xf numFmtId="0" fontId="0" fillId="0" borderId="29" xfId="0" applyBorder="1"/>
    <xf numFmtId="0" fontId="2" fillId="11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4" fillId="0" borderId="24" xfId="0" applyFont="1" applyBorder="1" applyAlignment="1">
      <alignment vertical="center"/>
    </xf>
    <xf numFmtId="0" fontId="65" fillId="9" borderId="30" xfId="0" applyFont="1" applyFill="1" applyBorder="1" applyAlignment="1">
      <alignment horizontal="center" vertical="center"/>
    </xf>
    <xf numFmtId="0" fontId="6" fillId="0" borderId="21" xfId="8" applyFont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2" fontId="1" fillId="9" borderId="7" xfId="0" applyNumberFormat="1" applyFont="1" applyFill="1" applyBorder="1" applyAlignment="1">
      <alignment horizontal="center" vertical="center" wrapText="1"/>
    </xf>
    <xf numFmtId="0" fontId="1" fillId="9" borderId="4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18" borderId="46" xfId="0" applyFont="1" applyFill="1" applyBorder="1" applyAlignment="1">
      <alignment horizontal="center" vertical="center" wrapText="1"/>
    </xf>
    <xf numFmtId="1" fontId="1" fillId="18" borderId="46" xfId="0" applyNumberFormat="1" applyFont="1" applyFill="1" applyBorder="1" applyAlignment="1">
      <alignment horizontal="center" vertical="center" wrapText="1"/>
    </xf>
    <xf numFmtId="1" fontId="1" fillId="18" borderId="45" xfId="0" applyNumberFormat="1" applyFont="1" applyFill="1" applyBorder="1" applyAlignment="1">
      <alignment horizontal="center" vertical="center" wrapText="1"/>
    </xf>
    <xf numFmtId="0" fontId="33" fillId="17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2" fontId="2" fillId="17" borderId="2" xfId="0" applyNumberFormat="1" applyFont="1" applyFill="1" applyBorder="1" applyAlignment="1">
      <alignment horizontal="center" vertical="center"/>
    </xf>
    <xf numFmtId="2" fontId="2" fillId="16" borderId="2" xfId="0" applyNumberFormat="1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2" fontId="2" fillId="9" borderId="38" xfId="0" applyNumberFormat="1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2" fontId="2" fillId="9" borderId="7" xfId="0" applyNumberFormat="1" applyFont="1" applyFill="1" applyBorder="1" applyAlignment="1">
      <alignment horizontal="center" vertical="center" wrapText="1"/>
    </xf>
    <xf numFmtId="2" fontId="2" fillId="9" borderId="48" xfId="0" applyNumberFormat="1" applyFont="1" applyFill="1" applyBorder="1" applyAlignment="1">
      <alignment horizontal="center" vertical="center" wrapText="1"/>
    </xf>
    <xf numFmtId="2" fontId="1" fillId="9" borderId="46" xfId="0" applyNumberFormat="1" applyFont="1" applyFill="1" applyBorder="1" applyAlignment="1">
      <alignment horizontal="center" vertical="center" wrapText="1"/>
    </xf>
    <xf numFmtId="2" fontId="1" fillId="9" borderId="45" xfId="0" applyNumberFormat="1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6" applyFont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2" fillId="0" borderId="2" xfId="6" applyFont="1" applyBorder="1" applyAlignment="1">
      <alignment horizontal="left" vertical="center" wrapText="1"/>
    </xf>
    <xf numFmtId="1" fontId="12" fillId="0" borderId="2" xfId="6" applyNumberFormat="1" applyFont="1" applyBorder="1" applyAlignment="1">
      <alignment horizontal="left" vertical="center" wrapText="1"/>
    </xf>
    <xf numFmtId="2" fontId="12" fillId="0" borderId="2" xfId="6" applyNumberFormat="1" applyFont="1" applyBorder="1" applyAlignment="1">
      <alignment horizontal="left" vertical="center" wrapText="1"/>
    </xf>
    <xf numFmtId="176" fontId="12" fillId="0" borderId="2" xfId="6" applyNumberFormat="1" applyFont="1" applyBorder="1" applyAlignment="1">
      <alignment horizontal="left" vertical="center" wrapText="1"/>
    </xf>
    <xf numFmtId="1" fontId="12" fillId="0" borderId="0" xfId="6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9" borderId="2" xfId="0" applyFont="1" applyFill="1" applyBorder="1" applyAlignment="1">
      <alignment horizontal="left" vertical="center"/>
    </xf>
    <xf numFmtId="2" fontId="1" fillId="9" borderId="2" xfId="0" applyNumberFormat="1" applyFont="1" applyFill="1" applyBorder="1" applyAlignment="1">
      <alignment horizontal="left" vertical="center"/>
    </xf>
    <xf numFmtId="2" fontId="1" fillId="9" borderId="2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Alignment="1">
      <alignment horizontal="left" vertical="center"/>
    </xf>
    <xf numFmtId="1" fontId="12" fillId="0" borderId="0" xfId="6" applyNumberFormat="1" applyFont="1" applyAlignment="1">
      <alignment horizontal="left" vertical="center" wrapText="1"/>
    </xf>
    <xf numFmtId="2" fontId="11" fillId="9" borderId="2" xfId="6" applyNumberFormat="1" applyFont="1" applyFill="1" applyBorder="1" applyAlignment="1">
      <alignment horizontal="left" vertical="center" wrapText="1"/>
    </xf>
    <xf numFmtId="1" fontId="1" fillId="9" borderId="2" xfId="0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77" fontId="1" fillId="9" borderId="2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2" fontId="2" fillId="0" borderId="18" xfId="0" applyNumberFormat="1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2" fontId="1" fillId="9" borderId="0" xfId="0" applyNumberFormat="1" applyFont="1" applyFill="1" applyAlignment="1">
      <alignment horizontal="left" vertical="top"/>
    </xf>
    <xf numFmtId="0" fontId="2" fillId="12" borderId="2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71" fillId="9" borderId="30" xfId="0" applyFont="1" applyFill="1" applyBorder="1" applyAlignment="1">
      <alignment horizontal="center" vertical="center" wrapText="1"/>
    </xf>
    <xf numFmtId="0" fontId="71" fillId="9" borderId="32" xfId="0" applyFont="1" applyFill="1" applyBorder="1" applyAlignment="1">
      <alignment horizontal="center" vertical="center" wrapText="1"/>
    </xf>
    <xf numFmtId="0" fontId="71" fillId="9" borderId="30" xfId="0" applyFont="1" applyFill="1" applyBorder="1" applyAlignment="1">
      <alignment horizontal="center" vertical="center"/>
    </xf>
    <xf numFmtId="0" fontId="71" fillId="9" borderId="32" xfId="0" applyFont="1" applyFill="1" applyBorder="1" applyAlignment="1">
      <alignment horizontal="center" vertical="center"/>
    </xf>
    <xf numFmtId="0" fontId="61" fillId="0" borderId="24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1" fontId="67" fillId="0" borderId="30" xfId="0" applyNumberFormat="1" applyFont="1" applyBorder="1" applyAlignment="1">
      <alignment horizontal="center" vertical="center"/>
    </xf>
    <xf numFmtId="1" fontId="67" fillId="0" borderId="31" xfId="0" applyNumberFormat="1" applyFont="1" applyBorder="1" applyAlignment="1">
      <alignment horizontal="center" vertical="center"/>
    </xf>
    <xf numFmtId="1" fontId="67" fillId="0" borderId="32" xfId="0" applyNumberFormat="1" applyFont="1" applyBorder="1" applyAlignment="1">
      <alignment horizontal="center" vertical="center"/>
    </xf>
    <xf numFmtId="0" fontId="58" fillId="13" borderId="22" xfId="0" applyFont="1" applyFill="1" applyBorder="1" applyAlignment="1">
      <alignment horizontal="left" vertical="center"/>
    </xf>
    <xf numFmtId="0" fontId="58" fillId="13" borderId="28" xfId="0" applyFont="1" applyFill="1" applyBorder="1" applyAlignment="1">
      <alignment horizontal="left" vertical="center"/>
    </xf>
    <xf numFmtId="0" fontId="58" fillId="13" borderId="23" xfId="0" applyFont="1" applyFill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3" fillId="0" borderId="32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2" xfId="0" applyFont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/>
    </xf>
    <xf numFmtId="0" fontId="40" fillId="0" borderId="24" xfId="0" applyFont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 wrapText="1"/>
    </xf>
    <xf numFmtId="0" fontId="6" fillId="8" borderId="46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6" fillId="8" borderId="60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/>
    </xf>
    <xf numFmtId="0" fontId="20" fillId="17" borderId="22" xfId="0" applyFont="1" applyFill="1" applyBorder="1" applyAlignment="1">
      <alignment horizontal="center" vertical="center"/>
    </xf>
    <xf numFmtId="0" fontId="20" fillId="17" borderId="28" xfId="0" applyFont="1" applyFill="1" applyBorder="1" applyAlignment="1">
      <alignment horizontal="center" vertical="center"/>
    </xf>
    <xf numFmtId="0" fontId="20" fillId="17" borderId="23" xfId="0" applyFont="1" applyFill="1" applyBorder="1" applyAlignment="1">
      <alignment horizontal="center" vertical="center"/>
    </xf>
    <xf numFmtId="0" fontId="20" fillId="17" borderId="24" xfId="0" applyFont="1" applyFill="1" applyBorder="1" applyAlignment="1">
      <alignment horizontal="center" vertical="center"/>
    </xf>
    <xf numFmtId="0" fontId="20" fillId="17" borderId="0" xfId="0" applyFont="1" applyFill="1" applyAlignment="1">
      <alignment horizontal="center" vertical="center"/>
    </xf>
    <xf numFmtId="0" fontId="20" fillId="17" borderId="25" xfId="0" applyFont="1" applyFill="1" applyBorder="1" applyAlignment="1">
      <alignment horizontal="center" vertical="center"/>
    </xf>
    <xf numFmtId="0" fontId="20" fillId="17" borderId="26" xfId="0" applyFont="1" applyFill="1" applyBorder="1" applyAlignment="1">
      <alignment horizontal="center" vertical="center"/>
    </xf>
    <xf numFmtId="0" fontId="20" fillId="17" borderId="29" xfId="0" applyFont="1" applyFill="1" applyBorder="1" applyAlignment="1">
      <alignment horizontal="center" vertical="center"/>
    </xf>
    <xf numFmtId="0" fontId="20" fillId="17" borderId="27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/>
    </xf>
    <xf numFmtId="0" fontId="70" fillId="0" borderId="2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44" fillId="0" borderId="59" xfId="0" applyFont="1" applyBorder="1" applyAlignment="1">
      <alignment horizontal="left" vertical="center" wrapText="1"/>
    </xf>
    <xf numFmtId="0" fontId="44" fillId="0" borderId="47" xfId="0" applyFont="1" applyBorder="1" applyAlignment="1">
      <alignment horizontal="left" vertical="center" wrapText="1"/>
    </xf>
    <xf numFmtId="0" fontId="6" fillId="8" borderId="60" xfId="0" applyFont="1" applyFill="1" applyBorder="1" applyAlignment="1">
      <alignment horizontal="center" vertical="center"/>
    </xf>
    <xf numFmtId="0" fontId="21" fillId="18" borderId="39" xfId="0" applyFont="1" applyFill="1" applyBorder="1" applyAlignment="1">
      <alignment horizontal="center" vertical="center" wrapText="1"/>
    </xf>
    <xf numFmtId="0" fontId="21" fillId="18" borderId="4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9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9" borderId="39" xfId="0" applyNumberFormat="1" applyFont="1" applyFill="1" applyBorder="1" applyAlignment="1">
      <alignment horizontal="center" vertical="center"/>
    </xf>
    <xf numFmtId="176" fontId="1" fillId="9" borderId="34" xfId="0" applyNumberFormat="1" applyFont="1" applyFill="1" applyBorder="1" applyAlignment="1">
      <alignment horizontal="center" vertical="center"/>
    </xf>
    <xf numFmtId="176" fontId="1" fillId="9" borderId="35" xfId="0" applyNumberFormat="1" applyFont="1" applyFill="1" applyBorder="1" applyAlignment="1">
      <alignment horizontal="center" vertical="center"/>
    </xf>
  </cellXfs>
  <cellStyles count="9">
    <cellStyle name="Normal 10" xfId="1" xr:uid="{00000000-0005-0000-0000-000002000000}"/>
    <cellStyle name="Normal 6" xfId="2" xr:uid="{00000000-0005-0000-0000-000003000000}"/>
    <cellStyle name="Normal 7" xfId="3" xr:uid="{00000000-0005-0000-0000-000004000000}"/>
    <cellStyle name="Normal 8" xfId="4" xr:uid="{00000000-0005-0000-0000-000005000000}"/>
    <cellStyle name="Normal 9" xfId="5" xr:uid="{00000000-0005-0000-0000-000006000000}"/>
    <cellStyle name="Normal_Sheet2" xfId="6" xr:uid="{00000000-0005-0000-0000-000007000000}"/>
    <cellStyle name="Normal_Sheet4" xfId="7" xr:uid="{00000000-0005-0000-0000-000008000000}"/>
    <cellStyle name="常规" xfId="0" builtinId="0"/>
    <cellStyle name="超链接" xfId="8" builtinId="8"/>
  </cellStyles>
  <dxfs count="20"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A7166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A7166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A7166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rgb="FFFA716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stermiller.org/calc/temperature.html" TargetMode="External"/><Relationship Id="rId2" Type="http://schemas.openxmlformats.org/officeDocument/2006/relationships/hyperlink" Target="https://www.esrl.noaa.gov/gmd/grad/solcalc/azel.html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koeppen-geiger.vu-wien.ac.at/present.ht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Relationship Id="rId9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P113"/>
  <sheetViews>
    <sheetView tabSelected="1" zoomScale="70" zoomScaleNormal="70" workbookViewId="0">
      <selection activeCell="D18" sqref="D18"/>
    </sheetView>
  </sheetViews>
  <sheetFormatPr defaultRowHeight="12.3"/>
  <cols>
    <col min="1" max="1" width="4.109375" customWidth="1"/>
    <col min="2" max="2" width="40.77734375" bestFit="1" customWidth="1"/>
    <col min="3" max="3" width="44.77734375" customWidth="1"/>
    <col min="4" max="4" width="64.77734375" bestFit="1" customWidth="1"/>
    <col min="5" max="5" width="4.88671875" bestFit="1" customWidth="1"/>
    <col min="6" max="6" width="26.33203125" bestFit="1" customWidth="1"/>
    <col min="7" max="7" width="65" customWidth="1"/>
    <col min="8" max="8" width="20.33203125" bestFit="1" customWidth="1"/>
    <col min="9" max="11" width="21" bestFit="1" customWidth="1"/>
    <col min="12" max="12" width="26.109375" customWidth="1"/>
    <col min="13" max="13" width="6" customWidth="1"/>
  </cols>
  <sheetData>
    <row r="1" spans="2:16" ht="20.399999999999999" customHeight="1" thickBot="1"/>
    <row r="2" spans="2:16" ht="66.599999999999994" customHeight="1" thickBot="1">
      <c r="B2" s="213" t="s">
        <v>745</v>
      </c>
      <c r="C2" s="214"/>
      <c r="D2" s="215"/>
      <c r="E2" s="228"/>
    </row>
    <row r="3" spans="2:16" ht="33" customHeight="1" thickBot="1">
      <c r="B3" s="343" t="s">
        <v>600</v>
      </c>
      <c r="C3" s="344"/>
      <c r="D3" s="345"/>
      <c r="E3" s="229"/>
      <c r="F3" s="95"/>
      <c r="G3" s="95"/>
      <c r="H3" s="95"/>
      <c r="I3" s="95"/>
      <c r="J3" s="64"/>
    </row>
    <row r="4" spans="2:16" ht="109.95" customHeight="1" thickBot="1">
      <c r="B4" s="346" t="s">
        <v>653</v>
      </c>
      <c r="C4" s="347"/>
      <c r="D4" s="348"/>
      <c r="E4" s="230"/>
      <c r="F4" s="96"/>
      <c r="G4" s="96"/>
      <c r="H4" s="96"/>
      <c r="I4" s="96"/>
      <c r="J4" s="106"/>
    </row>
    <row r="5" spans="2:16" ht="24" customHeight="1" thickBot="1"/>
    <row r="6" spans="2:16" ht="54.6" customHeight="1" thickBot="1">
      <c r="B6" s="340" t="s">
        <v>695</v>
      </c>
      <c r="C6" s="341"/>
      <c r="D6" s="342"/>
      <c r="E6" s="22"/>
      <c r="F6" s="109"/>
      <c r="G6" s="109"/>
      <c r="H6" s="109"/>
      <c r="I6" s="109"/>
      <c r="J6" s="110"/>
      <c r="K6" s="111"/>
      <c r="L6" s="112"/>
      <c r="M6" s="109"/>
      <c r="N6" s="109"/>
      <c r="O6" s="109"/>
      <c r="P6" s="109"/>
    </row>
    <row r="7" spans="2:16" ht="14.4" customHeight="1" thickBot="1">
      <c r="B7" s="74"/>
      <c r="C7" s="223"/>
      <c r="D7" s="210"/>
      <c r="F7" s="116"/>
      <c r="G7" s="116"/>
      <c r="H7" s="116"/>
      <c r="I7" s="116"/>
      <c r="J7" s="116"/>
      <c r="K7" s="117"/>
      <c r="L7" s="117"/>
      <c r="M7" s="109"/>
      <c r="N7" s="109"/>
      <c r="O7" s="109"/>
      <c r="P7" s="109"/>
    </row>
    <row r="8" spans="2:16" ht="26.1" thickBot="1">
      <c r="B8" s="333" t="s">
        <v>696</v>
      </c>
      <c r="C8" s="217" t="s">
        <v>652</v>
      </c>
      <c r="D8" s="221">
        <v>35.700000000000003</v>
      </c>
      <c r="E8" s="105" t="s">
        <v>575</v>
      </c>
      <c r="F8" s="250" t="s">
        <v>601</v>
      </c>
      <c r="G8" s="329" t="s">
        <v>602</v>
      </c>
      <c r="H8" s="330"/>
      <c r="I8" s="116"/>
      <c r="J8" s="116"/>
      <c r="K8" s="117"/>
      <c r="L8" s="117"/>
      <c r="M8" s="109"/>
      <c r="N8" s="109"/>
      <c r="O8" s="109"/>
      <c r="P8" s="109"/>
    </row>
    <row r="9" spans="2:16" ht="7.95" customHeight="1" thickBot="1">
      <c r="B9" s="333"/>
      <c r="C9" s="117"/>
      <c r="D9" s="66"/>
      <c r="F9" s="116"/>
      <c r="G9" s="116"/>
      <c r="H9" s="116"/>
      <c r="I9" s="116"/>
      <c r="J9" s="116"/>
      <c r="K9" s="117"/>
      <c r="L9" s="117"/>
      <c r="M9" s="109"/>
      <c r="N9" s="109"/>
      <c r="O9" s="109"/>
      <c r="P9" s="109"/>
    </row>
    <row r="10" spans="2:16" ht="17.7" thickBot="1">
      <c r="B10" s="333"/>
      <c r="C10" s="217" t="s">
        <v>651</v>
      </c>
      <c r="D10" s="221">
        <v>1.01</v>
      </c>
      <c r="F10" s="116"/>
      <c r="G10" s="116"/>
      <c r="H10" s="116"/>
      <c r="I10" s="116"/>
      <c r="J10" s="116"/>
      <c r="K10" s="117"/>
      <c r="L10" s="117"/>
      <c r="M10" s="109"/>
      <c r="N10" s="109"/>
      <c r="O10" s="109"/>
      <c r="P10" s="109"/>
    </row>
    <row r="11" spans="2:16" ht="9.6" customHeight="1" thickBot="1">
      <c r="B11" s="333"/>
      <c r="C11" s="217"/>
      <c r="D11" s="66"/>
      <c r="F11" s="116"/>
      <c r="G11" s="116"/>
      <c r="H11" s="116"/>
      <c r="I11" s="116"/>
      <c r="J11" s="116"/>
      <c r="K11" s="117"/>
      <c r="L11" s="117"/>
      <c r="M11" s="109"/>
      <c r="N11" s="109"/>
      <c r="O11" s="109"/>
      <c r="P11" s="109"/>
    </row>
    <row r="12" spans="2:16" ht="17.7" thickBot="1">
      <c r="B12" s="333"/>
      <c r="C12" s="217" t="s">
        <v>650</v>
      </c>
      <c r="D12" s="221">
        <v>44.8</v>
      </c>
      <c r="F12" s="116"/>
      <c r="G12" s="116"/>
      <c r="H12" s="118"/>
      <c r="I12" s="118"/>
      <c r="J12" s="118"/>
      <c r="K12" s="117"/>
      <c r="L12" s="117"/>
      <c r="M12" s="109"/>
      <c r="N12" s="109"/>
      <c r="O12" s="109"/>
      <c r="P12" s="109"/>
    </row>
    <row r="13" spans="2:16" ht="9" customHeight="1" thickBot="1">
      <c r="B13" s="333"/>
      <c r="C13" s="217"/>
      <c r="D13" s="66"/>
      <c r="F13" s="118"/>
      <c r="G13" s="118"/>
      <c r="H13" s="118"/>
      <c r="I13" s="118"/>
      <c r="J13" s="118"/>
      <c r="K13" s="117"/>
      <c r="L13" s="116"/>
      <c r="M13" s="109"/>
      <c r="N13" s="109"/>
      <c r="O13" s="109"/>
      <c r="P13" s="109"/>
    </row>
    <row r="14" spans="2:16" ht="17.7" thickBot="1">
      <c r="B14" s="333"/>
      <c r="C14" s="217" t="s">
        <v>649</v>
      </c>
      <c r="D14" s="221">
        <v>25</v>
      </c>
      <c r="F14" s="118"/>
      <c r="G14" s="118"/>
      <c r="H14" s="118"/>
      <c r="I14" s="118"/>
      <c r="J14" s="118"/>
      <c r="K14" s="117"/>
      <c r="L14" s="116"/>
      <c r="M14" s="109"/>
      <c r="N14" s="109"/>
      <c r="O14" s="109"/>
      <c r="P14" s="109"/>
    </row>
    <row r="15" spans="2:16" ht="7.2" customHeight="1" thickBot="1">
      <c r="B15" s="333"/>
      <c r="C15" s="217"/>
      <c r="D15" s="66"/>
      <c r="F15" s="118"/>
      <c r="G15" s="118"/>
      <c r="H15" s="118"/>
      <c r="I15" s="118"/>
      <c r="J15" s="118"/>
      <c r="K15" s="117"/>
      <c r="L15" s="116"/>
      <c r="M15" s="109"/>
      <c r="N15" s="109"/>
      <c r="O15" s="109"/>
      <c r="P15" s="109"/>
    </row>
    <row r="16" spans="2:16" ht="26.1" thickBot="1">
      <c r="B16" s="333"/>
      <c r="C16" s="217" t="s">
        <v>644</v>
      </c>
      <c r="D16" s="221">
        <v>65</v>
      </c>
      <c r="E16" s="105" t="s">
        <v>575</v>
      </c>
      <c r="F16" s="250" t="s">
        <v>223</v>
      </c>
      <c r="G16" s="331" t="s">
        <v>576</v>
      </c>
      <c r="H16" s="332"/>
      <c r="I16" s="118"/>
      <c r="J16" s="118"/>
      <c r="K16" s="117"/>
      <c r="L16" s="116"/>
      <c r="M16" s="109"/>
      <c r="N16" s="109"/>
      <c r="O16" s="109"/>
      <c r="P16" s="109"/>
    </row>
    <row r="17" spans="2:16" ht="7.95" customHeight="1" thickBot="1">
      <c r="B17" s="333"/>
      <c r="C17" s="218"/>
      <c r="D17" s="66"/>
      <c r="F17" s="118"/>
      <c r="G17" s="118"/>
      <c r="H17" s="118"/>
      <c r="I17" s="118"/>
      <c r="J17" s="118"/>
      <c r="K17" s="116"/>
      <c r="L17" s="116"/>
      <c r="M17" s="109"/>
      <c r="N17" s="109"/>
      <c r="O17" s="109"/>
      <c r="P17" s="109"/>
    </row>
    <row r="18" spans="2:16" ht="30.6" customHeight="1" thickBot="1">
      <c r="B18" s="333"/>
      <c r="C18" s="222" t="s">
        <v>747</v>
      </c>
      <c r="D18" s="221">
        <v>63</v>
      </c>
      <c r="F18" s="118"/>
      <c r="G18" s="118"/>
      <c r="H18" s="118"/>
      <c r="I18" s="118"/>
      <c r="J18" s="118"/>
      <c r="K18" s="116"/>
      <c r="L18" s="116"/>
      <c r="M18" s="109"/>
      <c r="N18" s="109"/>
      <c r="O18" s="109"/>
      <c r="P18" s="109"/>
    </row>
    <row r="19" spans="2:16" ht="7.2" customHeight="1" thickBot="1">
      <c r="B19" s="25"/>
      <c r="C19" s="217"/>
      <c r="D19" s="67"/>
      <c r="F19" s="118"/>
      <c r="G19" s="118"/>
      <c r="H19" s="118"/>
      <c r="I19" s="118"/>
      <c r="J19" s="118"/>
      <c r="K19" s="116"/>
      <c r="L19" s="116"/>
      <c r="M19" s="109"/>
      <c r="N19" s="109"/>
      <c r="O19" s="109"/>
      <c r="P19" s="109"/>
    </row>
    <row r="20" spans="2:16" ht="21" customHeight="1" thickBot="1">
      <c r="B20" s="333" t="s">
        <v>648</v>
      </c>
      <c r="C20" s="217" t="s">
        <v>645</v>
      </c>
      <c r="D20" s="227" t="s">
        <v>189</v>
      </c>
      <c r="F20" s="118"/>
      <c r="G20" s="118"/>
      <c r="H20" s="118"/>
      <c r="I20" s="118"/>
      <c r="J20" s="118"/>
      <c r="K20" s="116"/>
      <c r="L20" s="116"/>
      <c r="M20" s="109"/>
      <c r="N20" s="109"/>
      <c r="O20" s="109"/>
      <c r="P20" s="109"/>
    </row>
    <row r="21" spans="2:16" ht="7.95" customHeight="1" thickBot="1">
      <c r="B21" s="333"/>
      <c r="C21" s="217"/>
      <c r="D21" s="67"/>
      <c r="F21" s="247"/>
      <c r="G21" s="247"/>
      <c r="H21" s="247"/>
      <c r="I21" s="247"/>
      <c r="J21" s="116"/>
      <c r="K21" s="116"/>
      <c r="L21" s="116"/>
      <c r="M21" s="109"/>
      <c r="N21" s="109"/>
      <c r="O21" s="109"/>
      <c r="P21" s="109"/>
    </row>
    <row r="22" spans="2:16" ht="21.6" customHeight="1" thickBot="1">
      <c r="B22" s="333"/>
      <c r="C22" s="217" t="s">
        <v>646</v>
      </c>
      <c r="D22" s="226" t="s">
        <v>101</v>
      </c>
      <c r="F22" s="247"/>
      <c r="G22" s="247"/>
      <c r="H22" s="248"/>
      <c r="I22" s="247"/>
      <c r="J22" s="118"/>
      <c r="K22" s="116"/>
      <c r="L22" s="116"/>
      <c r="M22" s="109"/>
      <c r="N22" s="109"/>
      <c r="O22" s="109"/>
      <c r="P22" s="109"/>
    </row>
    <row r="23" spans="2:16" ht="16.8" customHeight="1" thickBot="1">
      <c r="B23" s="211"/>
      <c r="C23" s="224"/>
      <c r="D23" s="225"/>
      <c r="F23" s="247"/>
      <c r="G23" s="247"/>
      <c r="H23" s="248"/>
      <c r="I23" s="247"/>
      <c r="J23" s="116"/>
      <c r="K23" s="116"/>
      <c r="L23" s="116"/>
      <c r="M23" s="109"/>
      <c r="N23" s="109"/>
      <c r="O23" s="109"/>
      <c r="P23" s="109"/>
    </row>
    <row r="24" spans="2:16" ht="34.799999999999997" customHeight="1" thickBot="1">
      <c r="B24" s="334" t="s">
        <v>697</v>
      </c>
      <c r="C24" s="335"/>
      <c r="D24" s="336"/>
      <c r="F24" s="123"/>
      <c r="G24" s="123"/>
      <c r="H24" s="123"/>
      <c r="I24" s="123"/>
      <c r="J24" s="116"/>
      <c r="K24" s="116"/>
      <c r="L24" s="116"/>
      <c r="M24" s="109"/>
      <c r="N24" s="109"/>
      <c r="O24" s="109"/>
      <c r="P24" s="109"/>
    </row>
    <row r="25" spans="2:16" ht="39" customHeight="1" thickBot="1">
      <c r="B25" s="337">
        <f>'Energy Budget'!AT5</f>
        <v>108.75577182913401</v>
      </c>
      <c r="C25" s="338"/>
      <c r="D25" s="339"/>
      <c r="E25" s="105" t="s">
        <v>575</v>
      </c>
      <c r="F25" s="251" t="s">
        <v>714</v>
      </c>
      <c r="G25" s="246"/>
      <c r="H25" s="246"/>
      <c r="I25" s="121"/>
      <c r="J25" s="116"/>
      <c r="K25" s="116"/>
      <c r="L25" s="116"/>
      <c r="M25" s="109"/>
      <c r="N25" s="109"/>
      <c r="O25" s="109"/>
      <c r="P25" s="109"/>
    </row>
    <row r="26" spans="2:16" ht="21.6" customHeight="1" thickBot="1">
      <c r="B26" s="25"/>
      <c r="C26" s="65"/>
      <c r="D26" s="28"/>
      <c r="F26" s="116"/>
      <c r="G26" s="116"/>
      <c r="H26" s="116"/>
      <c r="I26" s="116"/>
      <c r="J26" s="116"/>
      <c r="K26" s="116"/>
      <c r="L26" s="116"/>
      <c r="M26" s="109"/>
      <c r="N26" s="109"/>
      <c r="O26" s="109"/>
      <c r="P26" s="109"/>
    </row>
    <row r="27" spans="2:16" ht="17.7" thickBot="1">
      <c r="B27" s="349" t="s">
        <v>638</v>
      </c>
      <c r="C27" s="217" t="s">
        <v>640</v>
      </c>
      <c r="D27" s="221">
        <v>75</v>
      </c>
      <c r="F27" s="116"/>
      <c r="G27" s="116"/>
      <c r="H27" s="116"/>
      <c r="I27" s="116"/>
      <c r="J27" s="116"/>
      <c r="K27" s="116"/>
      <c r="L27" s="116"/>
      <c r="M27" s="109"/>
      <c r="N27" s="109"/>
      <c r="O27" s="109"/>
      <c r="P27" s="109"/>
    </row>
    <row r="28" spans="2:16" ht="7.95" customHeight="1" thickBot="1">
      <c r="B28" s="349"/>
      <c r="C28" s="219"/>
      <c r="D28" s="68"/>
      <c r="F28" s="116"/>
      <c r="G28" s="116"/>
      <c r="H28" s="116"/>
      <c r="I28" s="116"/>
      <c r="J28" s="116"/>
      <c r="K28" s="116"/>
      <c r="L28" s="116"/>
      <c r="M28" s="109"/>
      <c r="N28" s="109"/>
      <c r="O28" s="109"/>
      <c r="P28" s="109"/>
    </row>
    <row r="29" spans="2:16" ht="17.7" thickBot="1">
      <c r="B29" s="349"/>
      <c r="C29" s="217" t="s">
        <v>641</v>
      </c>
      <c r="D29" s="221">
        <v>1.75</v>
      </c>
      <c r="F29" s="116"/>
      <c r="G29" s="116"/>
      <c r="H29" s="116"/>
      <c r="I29" s="116"/>
      <c r="J29" s="116"/>
      <c r="K29" s="116"/>
      <c r="L29" s="116"/>
      <c r="M29" s="109"/>
      <c r="N29" s="109"/>
      <c r="O29" s="109"/>
      <c r="P29" s="109"/>
    </row>
    <row r="30" spans="2:16" ht="7.2" customHeight="1" thickBot="1">
      <c r="B30" s="25"/>
      <c r="C30" s="220"/>
      <c r="D30" s="107"/>
      <c r="F30" s="116"/>
      <c r="G30" s="116"/>
      <c r="H30" s="116"/>
      <c r="I30" s="116"/>
      <c r="J30" s="116"/>
      <c r="K30" s="116"/>
      <c r="L30" s="116"/>
      <c r="M30" s="109"/>
      <c r="N30" s="109"/>
      <c r="O30" s="109"/>
      <c r="P30" s="109"/>
    </row>
    <row r="31" spans="2:16" ht="17.7" thickBot="1">
      <c r="B31" s="349" t="s">
        <v>639</v>
      </c>
      <c r="C31" s="217" t="s">
        <v>642</v>
      </c>
      <c r="D31" s="221">
        <v>35</v>
      </c>
      <c r="F31" s="247"/>
      <c r="G31" s="247"/>
      <c r="H31" s="247"/>
      <c r="I31" s="247"/>
      <c r="J31" s="116"/>
      <c r="K31" s="116"/>
      <c r="L31" s="116"/>
      <c r="M31" s="109"/>
      <c r="N31" s="109"/>
      <c r="O31" s="109"/>
      <c r="P31" s="109"/>
    </row>
    <row r="32" spans="2:16" ht="6.6" customHeight="1" thickBot="1">
      <c r="B32" s="349"/>
      <c r="C32" s="219"/>
      <c r="D32" s="69"/>
      <c r="F32" s="247"/>
      <c r="G32" s="247"/>
      <c r="H32" s="248"/>
      <c r="I32" s="247"/>
      <c r="J32" s="116"/>
      <c r="K32" s="116"/>
      <c r="L32" s="116"/>
      <c r="M32" s="109"/>
      <c r="N32" s="109"/>
      <c r="O32" s="109"/>
      <c r="P32" s="109"/>
    </row>
    <row r="33" spans="1:16" ht="23.4" customHeight="1" thickBot="1">
      <c r="B33" s="349"/>
      <c r="C33" s="217" t="s">
        <v>643</v>
      </c>
      <c r="D33" s="221" t="s">
        <v>503</v>
      </c>
      <c r="F33" s="247"/>
      <c r="G33" s="247"/>
      <c r="H33" s="248"/>
      <c r="I33" s="247"/>
      <c r="J33" s="116"/>
      <c r="K33" s="116"/>
      <c r="L33" s="116"/>
      <c r="M33" s="109"/>
      <c r="N33" s="109"/>
      <c r="O33" s="109"/>
      <c r="P33" s="109"/>
    </row>
    <row r="34" spans="1:16" ht="16.95" customHeight="1" thickBot="1">
      <c r="B34" s="25"/>
      <c r="C34" s="65"/>
      <c r="D34" s="42"/>
      <c r="F34" s="247"/>
      <c r="G34" s="247"/>
      <c r="H34" s="248"/>
      <c r="I34" s="247"/>
      <c r="J34" s="116"/>
      <c r="K34" s="116"/>
      <c r="L34" s="116"/>
      <c r="M34" s="109"/>
      <c r="N34" s="109"/>
      <c r="O34" s="109"/>
      <c r="P34" s="109"/>
    </row>
    <row r="35" spans="1:16" ht="33.6" customHeight="1" thickBot="1">
      <c r="B35" s="334" t="s">
        <v>700</v>
      </c>
      <c r="C35" s="335"/>
      <c r="D35" s="336"/>
      <c r="F35" s="116"/>
      <c r="G35" s="123"/>
      <c r="H35" s="123"/>
      <c r="I35" s="123"/>
      <c r="J35" s="116"/>
      <c r="K35" s="116"/>
      <c r="L35" s="116"/>
      <c r="M35" s="109"/>
      <c r="N35" s="109"/>
      <c r="O35" s="109"/>
      <c r="P35" s="109"/>
    </row>
    <row r="36" spans="1:16" ht="42.6" customHeight="1" thickBot="1">
      <c r="B36" s="337">
        <f>'Energy Budget'!AT6</f>
        <v>109.38698691276636</v>
      </c>
      <c r="C36" s="338"/>
      <c r="D36" s="339"/>
      <c r="E36" s="105"/>
      <c r="F36" s="246"/>
      <c r="G36" s="246"/>
      <c r="H36" s="246"/>
      <c r="I36" s="121"/>
      <c r="J36" s="116"/>
      <c r="K36" s="116"/>
      <c r="L36" s="116"/>
      <c r="M36" s="109"/>
      <c r="N36" s="109"/>
      <c r="O36" s="109"/>
      <c r="P36" s="109"/>
    </row>
    <row r="37" spans="1:16" ht="12" customHeight="1">
      <c r="A37" s="1"/>
      <c r="B37" s="236"/>
      <c r="C37" s="237"/>
      <c r="D37" s="238"/>
      <c r="F37" s="116"/>
      <c r="G37" s="116"/>
      <c r="H37" s="116"/>
      <c r="I37" s="116"/>
      <c r="J37" s="116"/>
      <c r="K37" s="116"/>
      <c r="L37" s="116"/>
      <c r="M37" s="109"/>
      <c r="N37" s="109"/>
      <c r="O37" s="109"/>
      <c r="P37" s="109"/>
    </row>
    <row r="38" spans="1:16" ht="26.4" customHeight="1">
      <c r="A38" s="1"/>
      <c r="B38" s="216" t="s">
        <v>647</v>
      </c>
      <c r="C38" s="232"/>
      <c r="D38" s="26"/>
      <c r="F38" s="116"/>
      <c r="G38" s="116"/>
      <c r="H38" s="116"/>
      <c r="I38" s="116"/>
      <c r="J38" s="116"/>
      <c r="K38" s="116"/>
      <c r="L38" s="116"/>
      <c r="M38" s="109"/>
      <c r="N38" s="109"/>
      <c r="O38" s="109"/>
      <c r="P38" s="109"/>
    </row>
    <row r="39" spans="1:16" ht="24" customHeight="1" thickBot="1">
      <c r="A39" s="1"/>
      <c r="B39" s="216" t="s">
        <v>655</v>
      </c>
      <c r="C39" s="232"/>
      <c r="D39" s="26"/>
      <c r="F39" s="116"/>
      <c r="G39" s="116"/>
      <c r="H39" s="116"/>
      <c r="I39" s="116"/>
      <c r="J39" s="116"/>
      <c r="K39" s="116"/>
      <c r="L39" s="116"/>
      <c r="M39" s="109"/>
      <c r="N39" s="109"/>
      <c r="O39" s="109"/>
      <c r="P39" s="109"/>
    </row>
    <row r="40" spans="1:16" ht="21.6" customHeight="1" thickBot="1">
      <c r="B40" s="249" t="s">
        <v>658</v>
      </c>
      <c r="C40" s="217" t="s">
        <v>656</v>
      </c>
      <c r="D40" s="226" t="s">
        <v>235</v>
      </c>
      <c r="F40" s="116"/>
      <c r="G40" s="116"/>
      <c r="H40" s="116"/>
      <c r="I40" s="116"/>
      <c r="J40" s="116"/>
      <c r="K40" s="116"/>
      <c r="L40" s="116"/>
      <c r="M40" s="109"/>
      <c r="N40" s="109"/>
      <c r="O40" s="109"/>
      <c r="P40" s="109"/>
    </row>
    <row r="41" spans="1:16" ht="6.6" customHeight="1" thickBot="1">
      <c r="B41" s="249"/>
      <c r="C41" s="233"/>
      <c r="D41" s="113"/>
      <c r="F41" s="116"/>
      <c r="G41" s="116"/>
      <c r="H41" s="116"/>
      <c r="I41" s="116"/>
      <c r="J41" s="116"/>
      <c r="K41" s="116"/>
      <c r="L41" s="116"/>
      <c r="M41" s="109"/>
      <c r="N41" s="109"/>
      <c r="O41" s="109"/>
      <c r="P41" s="109"/>
    </row>
    <row r="42" spans="1:16" ht="23.4" customHeight="1" thickBot="1">
      <c r="B42" s="249"/>
      <c r="C42" s="217" t="s">
        <v>657</v>
      </c>
      <c r="D42" s="221" t="s">
        <v>214</v>
      </c>
      <c r="F42" s="116"/>
      <c r="G42" s="116"/>
      <c r="H42" s="116"/>
      <c r="I42" s="116"/>
      <c r="J42" s="116"/>
      <c r="K42" s="116"/>
      <c r="L42" s="116"/>
      <c r="M42" s="109"/>
      <c r="N42" s="109"/>
      <c r="O42" s="109"/>
      <c r="P42" s="109"/>
    </row>
    <row r="43" spans="1:16" ht="6" customHeight="1" thickBot="1">
      <c r="B43" s="249"/>
      <c r="C43" s="117"/>
      <c r="D43" s="114"/>
      <c r="F43" s="116"/>
      <c r="G43" s="116"/>
      <c r="H43" s="116"/>
      <c r="I43" s="116"/>
      <c r="J43" s="116"/>
      <c r="K43" s="116"/>
      <c r="L43" s="116"/>
      <c r="M43" s="109"/>
      <c r="N43" s="109"/>
      <c r="O43" s="109"/>
      <c r="P43" s="109"/>
    </row>
    <row r="44" spans="1:16" ht="26.7" thickBot="1">
      <c r="B44" s="249"/>
      <c r="C44" s="222" t="s">
        <v>748</v>
      </c>
      <c r="D44" s="221">
        <v>10</v>
      </c>
      <c r="F44" s="116"/>
      <c r="G44" s="116"/>
      <c r="H44" s="116"/>
      <c r="I44" s="116"/>
      <c r="J44" s="116"/>
      <c r="K44" s="116"/>
      <c r="L44" s="116"/>
      <c r="M44" s="109"/>
      <c r="N44" s="109"/>
      <c r="O44" s="109"/>
      <c r="P44" s="109"/>
    </row>
    <row r="45" spans="1:16" ht="7.2" customHeight="1" thickBot="1">
      <c r="B45" s="25"/>
      <c r="C45" s="122"/>
      <c r="D45" s="114"/>
      <c r="F45" s="116"/>
      <c r="G45" s="116"/>
      <c r="H45" s="116"/>
      <c r="I45" s="116"/>
      <c r="J45" s="116"/>
      <c r="K45" s="116"/>
      <c r="L45" s="116"/>
      <c r="M45" s="109"/>
      <c r="N45" s="109"/>
      <c r="O45" s="109"/>
      <c r="P45" s="109"/>
    </row>
    <row r="46" spans="1:16" ht="17.7" thickBot="1">
      <c r="B46" s="249" t="s">
        <v>665</v>
      </c>
      <c r="C46" s="217" t="s">
        <v>670</v>
      </c>
      <c r="D46" s="221" t="s">
        <v>477</v>
      </c>
      <c r="F46" s="116"/>
      <c r="G46" s="116"/>
      <c r="H46" s="116"/>
      <c r="I46" s="116"/>
      <c r="J46" s="116"/>
      <c r="K46" s="116"/>
      <c r="L46" s="116"/>
      <c r="M46" s="109"/>
      <c r="N46" s="109"/>
      <c r="O46" s="109"/>
      <c r="P46" s="109"/>
    </row>
    <row r="47" spans="1:16" ht="7.2" customHeight="1" thickBot="1">
      <c r="B47" s="25"/>
      <c r="C47" s="117"/>
      <c r="D47" s="114"/>
      <c r="F47" s="116"/>
      <c r="G47" s="116"/>
      <c r="H47" s="116"/>
      <c r="I47" s="116"/>
      <c r="J47" s="116"/>
      <c r="K47" s="116"/>
      <c r="L47" s="116"/>
      <c r="M47" s="109"/>
      <c r="N47" s="109"/>
      <c r="O47" s="109"/>
      <c r="P47" s="109"/>
    </row>
    <row r="48" spans="1:16" ht="32.4" customHeight="1" thickBot="1">
      <c r="B48" s="231" t="s">
        <v>672</v>
      </c>
      <c r="C48" s="222" t="s">
        <v>671</v>
      </c>
      <c r="D48" s="221" t="s">
        <v>139</v>
      </c>
      <c r="F48" s="116"/>
      <c r="G48" s="116"/>
      <c r="H48" s="116"/>
      <c r="I48" s="116"/>
      <c r="J48" s="116"/>
      <c r="K48" s="116"/>
      <c r="L48" s="116"/>
      <c r="M48" s="109"/>
      <c r="N48" s="109"/>
      <c r="O48" s="109"/>
      <c r="P48" s="109"/>
    </row>
    <row r="49" spans="2:16" ht="17.399999999999999">
      <c r="B49" s="25"/>
      <c r="C49" s="234"/>
      <c r="D49" s="27"/>
      <c r="F49" s="116"/>
      <c r="G49" s="116"/>
      <c r="H49" s="116"/>
      <c r="I49" s="116"/>
      <c r="J49" s="116"/>
      <c r="K49" s="116"/>
      <c r="L49" s="116"/>
      <c r="M49" s="109"/>
      <c r="N49" s="109"/>
      <c r="O49" s="109"/>
      <c r="P49" s="109"/>
    </row>
    <row r="50" spans="2:16" ht="24.6" customHeight="1" thickBot="1">
      <c r="B50" s="216" t="s">
        <v>690</v>
      </c>
      <c r="C50" s="235"/>
      <c r="D50" s="27"/>
      <c r="F50" s="116"/>
      <c r="G50" s="116"/>
      <c r="H50" s="116"/>
      <c r="I50" s="116"/>
      <c r="J50" s="116"/>
      <c r="K50" s="120"/>
      <c r="L50" s="121"/>
      <c r="M50" s="109"/>
      <c r="N50" s="109"/>
      <c r="O50" s="109"/>
      <c r="P50" s="109"/>
    </row>
    <row r="51" spans="2:16" ht="32.4" customHeight="1" thickBot="1">
      <c r="B51" s="231" t="s">
        <v>688</v>
      </c>
      <c r="C51" s="222" t="s">
        <v>676</v>
      </c>
      <c r="D51" s="221" t="s">
        <v>237</v>
      </c>
      <c r="F51" s="116"/>
      <c r="G51" s="116"/>
      <c r="H51" s="116"/>
      <c r="I51" s="116"/>
      <c r="J51" s="116"/>
      <c r="K51" s="122"/>
      <c r="L51" s="116"/>
      <c r="M51" s="109"/>
      <c r="N51" s="109"/>
      <c r="O51" s="109"/>
      <c r="P51" s="109"/>
    </row>
    <row r="52" spans="2:16" ht="6.6" customHeight="1" thickBot="1">
      <c r="B52" s="25"/>
      <c r="C52" s="218"/>
      <c r="D52" s="115"/>
      <c r="F52" s="116"/>
      <c r="G52" s="116"/>
      <c r="H52" s="116"/>
      <c r="I52" s="116"/>
      <c r="J52" s="116"/>
      <c r="K52" s="116"/>
      <c r="L52" s="116"/>
      <c r="M52" s="109"/>
      <c r="N52" s="109"/>
      <c r="O52" s="109"/>
      <c r="P52" s="109"/>
    </row>
    <row r="53" spans="2:16" ht="24" customHeight="1" thickBot="1">
      <c r="B53" s="366" t="s">
        <v>689</v>
      </c>
      <c r="C53" s="217" t="s">
        <v>677</v>
      </c>
      <c r="D53" s="227" t="s">
        <v>192</v>
      </c>
      <c r="F53" s="116"/>
      <c r="G53" s="116"/>
      <c r="H53" s="116"/>
      <c r="I53" s="116"/>
      <c r="J53" s="116"/>
      <c r="K53" s="116"/>
      <c r="L53" s="116"/>
      <c r="M53" s="109"/>
      <c r="N53" s="109"/>
      <c r="O53" s="109"/>
      <c r="P53" s="109"/>
    </row>
    <row r="54" spans="2:16" ht="7.8" customHeight="1" thickBot="1">
      <c r="B54" s="366"/>
      <c r="C54" s="218"/>
      <c r="D54" s="115"/>
      <c r="F54" s="116"/>
      <c r="G54" s="116"/>
      <c r="H54" s="116"/>
      <c r="I54" s="116"/>
      <c r="J54" s="116"/>
      <c r="K54" s="116"/>
      <c r="L54" s="116"/>
      <c r="M54" s="109"/>
      <c r="N54" s="109"/>
      <c r="O54" s="109"/>
      <c r="P54" s="109"/>
    </row>
    <row r="55" spans="2:16" ht="24.75" customHeight="1" thickBot="1">
      <c r="B55" s="366"/>
      <c r="C55" s="217" t="s">
        <v>678</v>
      </c>
      <c r="D55" s="221" t="s">
        <v>637</v>
      </c>
      <c r="F55" s="116"/>
      <c r="G55" s="116"/>
      <c r="H55" s="116"/>
      <c r="I55" s="116"/>
      <c r="J55" s="116"/>
      <c r="K55" s="116"/>
      <c r="L55" s="116"/>
      <c r="M55" s="109"/>
      <c r="N55" s="109"/>
      <c r="O55" s="109"/>
      <c r="P55" s="109"/>
    </row>
    <row r="56" spans="2:16" ht="6.6" customHeight="1">
      <c r="B56" s="231"/>
      <c r="C56" s="217"/>
      <c r="D56" s="66"/>
      <c r="F56" s="116"/>
      <c r="G56" s="116"/>
      <c r="H56" s="116"/>
      <c r="I56" s="116"/>
      <c r="J56" s="116"/>
      <c r="K56" s="116"/>
      <c r="L56" s="116"/>
      <c r="M56" s="109"/>
      <c r="N56" s="109"/>
      <c r="O56" s="109"/>
      <c r="P56" s="109"/>
    </row>
    <row r="57" spans="2:16" ht="18" customHeight="1" thickBot="1">
      <c r="B57" s="216" t="s">
        <v>675</v>
      </c>
      <c r="C57" s="218"/>
      <c r="D57" s="115"/>
      <c r="F57" s="116"/>
      <c r="G57" s="116"/>
      <c r="H57" s="116"/>
      <c r="I57" s="116"/>
      <c r="J57" s="116"/>
      <c r="K57" s="116"/>
      <c r="L57" s="116"/>
      <c r="M57" s="109"/>
      <c r="N57" s="109"/>
      <c r="O57" s="109"/>
      <c r="P57" s="109"/>
    </row>
    <row r="58" spans="2:16" ht="23.25" customHeight="1" thickBot="1">
      <c r="B58" s="231" t="s">
        <v>674</v>
      </c>
      <c r="C58" s="217" t="s">
        <v>673</v>
      </c>
      <c r="D58" s="226" t="s">
        <v>101</v>
      </c>
      <c r="F58" s="247"/>
      <c r="G58" s="247"/>
      <c r="H58" s="247"/>
      <c r="I58" s="247"/>
      <c r="J58" s="116"/>
      <c r="K58" s="116"/>
      <c r="L58" s="116"/>
      <c r="M58" s="109"/>
      <c r="N58" s="109"/>
      <c r="O58" s="109"/>
      <c r="P58" s="109"/>
    </row>
    <row r="59" spans="2:16" ht="9" customHeight="1">
      <c r="B59" s="25"/>
      <c r="C59" s="218"/>
      <c r="D59" s="115"/>
      <c r="F59" s="247"/>
      <c r="G59" s="247"/>
      <c r="H59" s="248"/>
      <c r="I59" s="247"/>
      <c r="J59" s="116"/>
      <c r="K59" s="116"/>
      <c r="L59" s="116"/>
      <c r="M59" s="109"/>
      <c r="N59" s="109"/>
      <c r="O59" s="109"/>
      <c r="P59" s="109"/>
    </row>
    <row r="60" spans="2:16" ht="21" customHeight="1" thickBot="1">
      <c r="B60" s="211"/>
      <c r="C60" s="239"/>
      <c r="D60" s="212"/>
      <c r="F60" s="247"/>
      <c r="G60" s="247"/>
      <c r="H60" s="248"/>
      <c r="I60" s="247"/>
      <c r="J60" s="116"/>
      <c r="K60" s="116"/>
      <c r="L60" s="116"/>
      <c r="M60" s="109"/>
      <c r="N60" s="109"/>
      <c r="O60" s="109"/>
      <c r="P60" s="109"/>
    </row>
    <row r="61" spans="2:16" ht="37.799999999999997" customHeight="1" thickBot="1">
      <c r="B61" s="334" t="s">
        <v>698</v>
      </c>
      <c r="C61" s="335"/>
      <c r="D61" s="336"/>
      <c r="F61" s="116"/>
      <c r="G61" s="123"/>
      <c r="H61" s="123"/>
      <c r="I61" s="123"/>
      <c r="J61" s="116"/>
      <c r="K61" s="116"/>
      <c r="L61" s="116"/>
      <c r="M61" s="109"/>
      <c r="N61" s="109"/>
      <c r="O61" s="109"/>
      <c r="P61" s="109"/>
    </row>
    <row r="62" spans="2:16" ht="45.6" customHeight="1" thickBot="1">
      <c r="B62" s="337">
        <f>'Energy Budget'!AT7</f>
        <v>113.6656694142452</v>
      </c>
      <c r="C62" s="338"/>
      <c r="D62" s="339"/>
      <c r="E62" s="105"/>
      <c r="F62" s="246"/>
      <c r="G62" s="246"/>
      <c r="H62" s="246"/>
      <c r="I62" s="121"/>
      <c r="J62" s="119"/>
      <c r="K62" s="116"/>
      <c r="L62" s="116"/>
      <c r="M62" s="109"/>
      <c r="N62" s="109"/>
      <c r="O62" s="109"/>
      <c r="P62" s="109"/>
    </row>
    <row r="63" spans="2:16" ht="40.200000000000003" customHeight="1" thickBot="1">
      <c r="B63" s="367" t="s">
        <v>699</v>
      </c>
      <c r="C63" s="368"/>
      <c r="D63" s="369"/>
      <c r="E63" s="2"/>
      <c r="F63" s="120"/>
      <c r="G63" s="124"/>
      <c r="H63" s="124"/>
      <c r="I63" s="124"/>
      <c r="J63" s="116"/>
      <c r="K63" s="116"/>
      <c r="L63" s="116"/>
      <c r="M63" s="109"/>
      <c r="N63" s="109"/>
      <c r="O63" s="109"/>
      <c r="P63" s="109"/>
    </row>
    <row r="64" spans="2:16" ht="40.799999999999997" customHeight="1" thickBot="1">
      <c r="B64" s="337">
        <f>'Energy Budget'!AT8</f>
        <v>114.20666351919658</v>
      </c>
      <c r="C64" s="338"/>
      <c r="D64" s="339"/>
      <c r="E64" s="105"/>
      <c r="F64" s="246"/>
      <c r="G64" s="246"/>
      <c r="H64" s="246"/>
      <c r="I64" s="121"/>
      <c r="J64" s="116"/>
      <c r="K64" s="116"/>
      <c r="L64" s="116"/>
      <c r="M64" s="109"/>
      <c r="N64" s="109"/>
      <c r="O64" s="109"/>
      <c r="P64" s="109"/>
    </row>
    <row r="65" spans="2:16" ht="28.95" customHeight="1">
      <c r="C65" s="75"/>
      <c r="D65" s="75"/>
      <c r="F65" s="116"/>
      <c r="G65" s="116"/>
      <c r="H65" s="116"/>
      <c r="I65" s="116"/>
      <c r="J65" s="116"/>
      <c r="K65" s="116"/>
      <c r="L65" s="116"/>
      <c r="M65" s="109"/>
      <c r="N65" s="109"/>
      <c r="O65" s="109"/>
      <c r="P65" s="109"/>
    </row>
    <row r="66" spans="2:16" ht="17.399999999999999">
      <c r="F66" s="116"/>
      <c r="G66" s="116"/>
      <c r="H66" s="116"/>
      <c r="I66" s="116"/>
      <c r="J66" s="116"/>
      <c r="K66" s="116"/>
      <c r="L66" s="116"/>
      <c r="M66" s="109"/>
      <c r="N66" s="109"/>
      <c r="O66" s="109"/>
      <c r="P66" s="109"/>
    </row>
    <row r="67" spans="2:16" ht="17.7" thickBot="1">
      <c r="F67" s="116"/>
      <c r="G67" s="116"/>
      <c r="H67" s="116"/>
      <c r="I67" s="116"/>
      <c r="J67" s="116"/>
      <c r="K67" s="116"/>
      <c r="L67" s="116"/>
      <c r="M67" s="109"/>
      <c r="N67" s="109"/>
      <c r="O67" s="109"/>
      <c r="P67" s="109"/>
    </row>
    <row r="68" spans="2:16" ht="25.8" customHeight="1" thickBot="1">
      <c r="B68" s="357" t="s">
        <v>578</v>
      </c>
      <c r="C68" s="358"/>
      <c r="D68" s="359"/>
      <c r="E68" s="350" t="s">
        <v>570</v>
      </c>
      <c r="F68" s="125"/>
      <c r="G68" s="126" t="s">
        <v>579</v>
      </c>
      <c r="H68" s="127" t="s">
        <v>580</v>
      </c>
      <c r="I68" s="127" t="s">
        <v>581</v>
      </c>
      <c r="J68" s="127" t="s">
        <v>582</v>
      </c>
      <c r="K68" s="127" t="s">
        <v>583</v>
      </c>
      <c r="L68" s="116"/>
      <c r="M68" s="109"/>
      <c r="N68" s="109"/>
      <c r="O68" s="109"/>
      <c r="P68" s="109"/>
    </row>
    <row r="69" spans="2:16" ht="27" customHeight="1">
      <c r="B69" s="360"/>
      <c r="C69" s="361"/>
      <c r="D69" s="362"/>
      <c r="E69" s="350"/>
      <c r="F69" s="351" t="s">
        <v>584</v>
      </c>
      <c r="G69" s="128" t="s">
        <v>607</v>
      </c>
      <c r="H69" s="146">
        <f>'R(abs)'!AN5</f>
        <v>5.3247396861372396</v>
      </c>
      <c r="I69" s="146">
        <f>'R(abs)'!AN5</f>
        <v>5.3247396861372396</v>
      </c>
      <c r="J69" s="147">
        <f>'R(abs)'!AN6</f>
        <v>5.0963309382322848</v>
      </c>
      <c r="K69" s="147">
        <f>'R(abs)'!AN6</f>
        <v>5.0963309382322848</v>
      </c>
      <c r="L69" s="116"/>
      <c r="M69" s="109"/>
      <c r="N69" s="109"/>
      <c r="O69" s="109"/>
      <c r="P69" s="109"/>
    </row>
    <row r="70" spans="2:16" ht="26.4" customHeight="1">
      <c r="B70" s="360"/>
      <c r="C70" s="361"/>
      <c r="D70" s="362"/>
      <c r="E70" s="350"/>
      <c r="F70" s="352"/>
      <c r="G70" s="129" t="s">
        <v>608</v>
      </c>
      <c r="H70" s="146">
        <f>'R(abs)'!AM5</f>
        <v>492.66193803198365</v>
      </c>
      <c r="I70" s="146">
        <f>H70</f>
        <v>492.66193803198365</v>
      </c>
      <c r="J70" s="146">
        <f>'R(abs)'!AM6</f>
        <v>492.66193803198365</v>
      </c>
      <c r="K70" s="146">
        <f>'R(abs)'!AM6</f>
        <v>492.66193803198365</v>
      </c>
      <c r="L70" s="116"/>
      <c r="M70" s="109"/>
      <c r="N70" s="109"/>
      <c r="O70" s="109"/>
      <c r="P70" s="109"/>
    </row>
    <row r="71" spans="2:16" ht="28.2" customHeight="1">
      <c r="B71" s="360"/>
      <c r="C71" s="361"/>
      <c r="D71" s="362"/>
      <c r="E71" s="350"/>
      <c r="F71" s="352"/>
      <c r="G71" s="129" t="s">
        <v>609</v>
      </c>
      <c r="H71" s="146">
        <f>'Energy Budget'!M5</f>
        <v>398.38934217449673</v>
      </c>
      <c r="I71" s="146">
        <f>'Energy Budget'!M5</f>
        <v>398.38934217449673</v>
      </c>
      <c r="J71" s="146">
        <f>'Energy Budget'!M7</f>
        <v>400.75851663020563</v>
      </c>
      <c r="K71" s="146">
        <f>'Energy Budget'!M7</f>
        <v>400.75851663020563</v>
      </c>
      <c r="L71" s="116"/>
      <c r="M71" s="109"/>
      <c r="N71" s="109"/>
      <c r="O71" s="109"/>
      <c r="P71" s="109"/>
    </row>
    <row r="72" spans="2:16" ht="25.2" customHeight="1">
      <c r="B72" s="360"/>
      <c r="C72" s="361"/>
      <c r="D72" s="362"/>
      <c r="E72" s="350"/>
      <c r="F72" s="352"/>
      <c r="G72" s="129" t="s">
        <v>610</v>
      </c>
      <c r="H72" s="146">
        <f>'Energy Budget'!V5</f>
        <v>107.32918280134896</v>
      </c>
      <c r="I72" s="146">
        <f>'Energy Budget'!V6</f>
        <v>108.81453204536476</v>
      </c>
      <c r="J72" s="146">
        <f>'Energy Budget'!V5</f>
        <v>107.32918280134896</v>
      </c>
      <c r="K72" s="146">
        <f>'Energy Budget'!V6</f>
        <v>108.81453204536476</v>
      </c>
      <c r="L72" s="116"/>
      <c r="M72" s="109"/>
      <c r="N72" s="109"/>
      <c r="O72" s="109"/>
      <c r="P72" s="109"/>
    </row>
    <row r="73" spans="2:16" ht="25.95" customHeight="1">
      <c r="B73" s="360"/>
      <c r="C73" s="361"/>
      <c r="D73" s="362"/>
      <c r="E73" s="350"/>
      <c r="F73" s="353" t="s">
        <v>585</v>
      </c>
      <c r="G73" s="129" t="s">
        <v>611</v>
      </c>
      <c r="H73" s="146">
        <f>'Energy Budget'!AI5</f>
        <v>4.9707482444945885</v>
      </c>
      <c r="I73" s="146">
        <f>'Energy Budget'!AI6</f>
        <v>5.0009965306854021</v>
      </c>
      <c r="J73" s="146">
        <f>'Energy Budget'!AI7</f>
        <v>3.3413183581584862</v>
      </c>
      <c r="K73" s="146">
        <f>'Energy Budget'!AI8</f>
        <v>3.360530657208654</v>
      </c>
      <c r="L73" s="116"/>
      <c r="M73" s="109"/>
      <c r="N73" s="109"/>
      <c r="O73" s="109"/>
      <c r="P73" s="109"/>
    </row>
    <row r="74" spans="2:16" ht="25.95" customHeight="1">
      <c r="B74" s="360"/>
      <c r="C74" s="361"/>
      <c r="D74" s="362"/>
      <c r="E74" s="350"/>
      <c r="F74" s="353"/>
      <c r="G74" s="129" t="s">
        <v>612</v>
      </c>
      <c r="H74" s="146">
        <f>'Energy Budget'!AS5</f>
        <v>22.400799144943811</v>
      </c>
      <c r="I74" s="146">
        <f>'Energy Budget'!AS6</f>
        <v>23.025364192720605</v>
      </c>
      <c r="J74" s="146">
        <f>'Energy Budget'!AS7</f>
        <v>22.382565156384917</v>
      </c>
      <c r="K74" s="146">
        <f>'Energy Budget'!AS8</f>
        <v>23.007144687949218</v>
      </c>
      <c r="L74" s="116"/>
      <c r="M74" s="109"/>
      <c r="N74" s="109"/>
      <c r="O74" s="109"/>
      <c r="P74" s="109"/>
    </row>
    <row r="75" spans="2:16" ht="36" customHeight="1">
      <c r="B75" s="360"/>
      <c r="C75" s="361"/>
      <c r="D75" s="362"/>
      <c r="E75" s="350"/>
      <c r="F75" s="353"/>
      <c r="G75" s="130" t="s">
        <v>613</v>
      </c>
      <c r="H75" s="146">
        <f>'Energy Budget'!AK5</f>
        <v>369.59120575727331</v>
      </c>
      <c r="I75" s="146">
        <f>'Energy Budget'!AK6</f>
        <v>369.60779958536511</v>
      </c>
      <c r="J75" s="146">
        <f>'Energy Budget'!AK7</f>
        <v>368.69814650276601</v>
      </c>
      <c r="K75" s="146">
        <f>'Energy Budget'!AK8</f>
        <v>368.70866695673351</v>
      </c>
      <c r="L75" s="116"/>
      <c r="M75" s="109"/>
      <c r="N75" s="109"/>
      <c r="O75" s="109"/>
      <c r="P75" s="109"/>
    </row>
    <row r="76" spans="2:16" ht="36" customHeight="1">
      <c r="B76" s="360"/>
      <c r="C76" s="361"/>
      <c r="D76" s="362"/>
      <c r="E76" s="350"/>
      <c r="F76" s="144" t="s">
        <v>614</v>
      </c>
      <c r="G76" s="145" t="s">
        <v>604</v>
      </c>
      <c r="H76" s="148">
        <f>B25</f>
        <v>108.75577182913401</v>
      </c>
      <c r="I76" s="148">
        <f>B36</f>
        <v>109.38698691276636</v>
      </c>
      <c r="J76" s="148">
        <f>B62</f>
        <v>113.6656694142452</v>
      </c>
      <c r="K76" s="148">
        <f>B64</f>
        <v>114.20666351919658</v>
      </c>
      <c r="L76" s="116"/>
      <c r="M76" s="109"/>
      <c r="N76" s="109"/>
      <c r="O76" s="109"/>
      <c r="P76" s="109"/>
    </row>
    <row r="77" spans="2:16" ht="61.2" customHeight="1" thickBot="1">
      <c r="B77" s="363"/>
      <c r="C77" s="364"/>
      <c r="D77" s="365"/>
      <c r="E77" s="350"/>
      <c r="F77" s="131"/>
      <c r="G77" s="370" t="s">
        <v>586</v>
      </c>
      <c r="H77" s="371"/>
      <c r="I77" s="371"/>
      <c r="J77" s="371"/>
      <c r="K77" s="371"/>
      <c r="L77" s="116"/>
      <c r="M77" s="109"/>
      <c r="N77" s="109"/>
      <c r="O77" s="109"/>
      <c r="P77" s="109"/>
    </row>
    <row r="78" spans="2:16" ht="17.399999999999999">
      <c r="F78" s="116"/>
      <c r="G78" s="116"/>
      <c r="H78" s="116"/>
      <c r="I78" s="116"/>
      <c r="J78" s="116"/>
      <c r="K78" s="116"/>
      <c r="L78" s="116"/>
      <c r="M78" s="109"/>
      <c r="N78" s="109"/>
      <c r="O78" s="109"/>
      <c r="P78" s="109"/>
    </row>
    <row r="79" spans="2:16" ht="17.7" thickBot="1">
      <c r="F79" s="116"/>
      <c r="G79" s="116"/>
      <c r="H79" s="116"/>
      <c r="I79" s="116"/>
      <c r="J79" s="116"/>
      <c r="K79" s="116"/>
      <c r="L79" s="116"/>
      <c r="M79" s="109"/>
      <c r="N79" s="109"/>
      <c r="O79" s="109"/>
      <c r="P79" s="109"/>
    </row>
    <row r="80" spans="2:16" ht="27.6" customHeight="1" thickBot="1">
      <c r="B80" s="357" t="s">
        <v>587</v>
      </c>
      <c r="C80" s="358"/>
      <c r="D80" s="359"/>
      <c r="E80" s="354" t="s">
        <v>570</v>
      </c>
      <c r="F80" s="372" t="s">
        <v>588</v>
      </c>
      <c r="G80" s="356"/>
      <c r="H80" s="116"/>
      <c r="I80" s="116"/>
      <c r="J80" s="116"/>
      <c r="K80" s="116"/>
      <c r="L80" s="116"/>
      <c r="M80" s="109"/>
      <c r="N80" s="109"/>
      <c r="O80" s="109"/>
      <c r="P80" s="109"/>
    </row>
    <row r="81" spans="2:16" ht="22.2" customHeight="1">
      <c r="B81" s="360"/>
      <c r="C81" s="361"/>
      <c r="D81" s="362"/>
      <c r="E81" s="354"/>
      <c r="F81" s="132" t="s">
        <v>68</v>
      </c>
      <c r="G81" s="133" t="s">
        <v>69</v>
      </c>
      <c r="H81" s="116"/>
      <c r="I81" s="116"/>
      <c r="J81" s="116"/>
      <c r="K81" s="116"/>
      <c r="L81" s="116"/>
      <c r="M81" s="109"/>
      <c r="N81" s="109"/>
      <c r="O81" s="109"/>
      <c r="P81" s="109"/>
    </row>
    <row r="82" spans="2:16" ht="22.95" customHeight="1">
      <c r="B82" s="360"/>
      <c r="C82" s="361"/>
      <c r="D82" s="362"/>
      <c r="E82" s="354"/>
      <c r="F82" s="134" t="s">
        <v>571</v>
      </c>
      <c r="G82" s="135" t="s">
        <v>70</v>
      </c>
      <c r="H82" s="116"/>
      <c r="I82" s="116"/>
      <c r="J82" s="116"/>
      <c r="K82" s="116"/>
      <c r="L82" s="116"/>
      <c r="M82" s="109"/>
      <c r="N82" s="109"/>
      <c r="O82" s="109"/>
      <c r="P82" s="109"/>
    </row>
    <row r="83" spans="2:16" ht="24" customHeight="1">
      <c r="B83" s="360"/>
      <c r="C83" s="361"/>
      <c r="D83" s="362"/>
      <c r="E83" s="354"/>
      <c r="F83" s="136" t="s">
        <v>572</v>
      </c>
      <c r="G83" s="135" t="s">
        <v>71</v>
      </c>
      <c r="H83" s="116"/>
      <c r="I83" s="116"/>
      <c r="J83" s="116"/>
      <c r="K83" s="116"/>
      <c r="L83" s="116"/>
      <c r="M83" s="109"/>
      <c r="N83" s="109"/>
      <c r="O83" s="109"/>
      <c r="P83" s="109"/>
    </row>
    <row r="84" spans="2:16" ht="25.2" customHeight="1">
      <c r="B84" s="360"/>
      <c r="C84" s="361"/>
      <c r="D84" s="362"/>
      <c r="E84" s="354"/>
      <c r="F84" s="137" t="s">
        <v>573</v>
      </c>
      <c r="G84" s="135" t="s">
        <v>72</v>
      </c>
      <c r="H84" s="116"/>
      <c r="I84" s="116"/>
      <c r="J84" s="116"/>
      <c r="K84" s="116"/>
      <c r="L84" s="116"/>
      <c r="M84" s="109"/>
      <c r="N84" s="109"/>
      <c r="O84" s="109"/>
      <c r="P84" s="109"/>
    </row>
    <row r="85" spans="2:16" ht="27.6" customHeight="1" thickBot="1">
      <c r="B85" s="360"/>
      <c r="C85" s="361"/>
      <c r="D85" s="362"/>
      <c r="E85" s="354"/>
      <c r="F85" s="138" t="s">
        <v>574</v>
      </c>
      <c r="G85" s="139" t="s">
        <v>73</v>
      </c>
      <c r="H85" s="116"/>
      <c r="I85" s="116"/>
      <c r="J85" s="116"/>
      <c r="K85" s="116"/>
      <c r="L85" s="116"/>
      <c r="M85" s="109"/>
      <c r="N85" s="109"/>
      <c r="O85" s="109"/>
      <c r="P85" s="109"/>
    </row>
    <row r="86" spans="2:16" ht="18" customHeight="1" thickBot="1">
      <c r="B86" s="360"/>
      <c r="C86" s="361"/>
      <c r="D86" s="362"/>
      <c r="F86" s="116"/>
      <c r="G86" s="116"/>
      <c r="H86" s="116"/>
      <c r="I86" s="116"/>
      <c r="J86" s="116"/>
      <c r="K86" s="116"/>
      <c r="L86" s="116"/>
      <c r="M86" s="109"/>
      <c r="N86" s="109"/>
      <c r="O86" s="109"/>
      <c r="P86" s="109"/>
    </row>
    <row r="87" spans="2:16" ht="30" customHeight="1" thickBot="1">
      <c r="B87" s="360"/>
      <c r="C87" s="361"/>
      <c r="D87" s="362"/>
      <c r="E87" s="354" t="s">
        <v>570</v>
      </c>
      <c r="F87" s="372" t="s">
        <v>589</v>
      </c>
      <c r="G87" s="356"/>
      <c r="H87" s="116"/>
      <c r="I87" s="116"/>
      <c r="J87" s="116"/>
      <c r="K87" s="116"/>
      <c r="L87" s="116"/>
      <c r="M87" s="109"/>
      <c r="N87" s="109"/>
      <c r="O87" s="109"/>
      <c r="P87" s="109"/>
    </row>
    <row r="88" spans="2:16" ht="25.2" customHeight="1">
      <c r="B88" s="360"/>
      <c r="C88" s="361"/>
      <c r="D88" s="362"/>
      <c r="E88" s="354"/>
      <c r="F88" s="140" t="s">
        <v>590</v>
      </c>
      <c r="G88" s="135" t="s">
        <v>591</v>
      </c>
      <c r="H88" s="116"/>
      <c r="I88" s="116"/>
      <c r="J88" s="116"/>
      <c r="K88" s="116"/>
      <c r="L88" s="116"/>
      <c r="M88" s="109"/>
      <c r="N88" s="109"/>
      <c r="O88" s="109"/>
      <c r="P88" s="109"/>
    </row>
    <row r="89" spans="2:16" ht="25.2" customHeight="1">
      <c r="B89" s="360"/>
      <c r="C89" s="361"/>
      <c r="D89" s="362"/>
      <c r="E89" s="354"/>
      <c r="F89" s="136" t="s">
        <v>592</v>
      </c>
      <c r="G89" s="135" t="s">
        <v>593</v>
      </c>
      <c r="H89" s="116"/>
      <c r="I89" s="116"/>
      <c r="J89" s="116"/>
      <c r="K89" s="116"/>
      <c r="L89" s="116"/>
      <c r="M89" s="109"/>
      <c r="N89" s="109"/>
      <c r="O89" s="109"/>
      <c r="P89" s="109"/>
    </row>
    <row r="90" spans="2:16" ht="25.95" customHeight="1">
      <c r="B90" s="360"/>
      <c r="C90" s="361"/>
      <c r="D90" s="362"/>
      <c r="E90" s="354"/>
      <c r="F90" s="137" t="s">
        <v>594</v>
      </c>
      <c r="G90" s="135" t="s">
        <v>595</v>
      </c>
      <c r="H90" s="116"/>
      <c r="I90" s="116"/>
      <c r="J90" s="116"/>
      <c r="K90" s="116"/>
      <c r="L90" s="116"/>
      <c r="M90" s="109"/>
      <c r="N90" s="109"/>
      <c r="O90" s="109"/>
      <c r="P90" s="109"/>
    </row>
    <row r="91" spans="2:16" ht="23.4" customHeight="1" thickBot="1">
      <c r="B91" s="360"/>
      <c r="C91" s="361"/>
      <c r="D91" s="362"/>
      <c r="E91" s="354"/>
      <c r="F91" s="138" t="s">
        <v>596</v>
      </c>
      <c r="G91" s="139" t="s">
        <v>597</v>
      </c>
      <c r="H91" s="116"/>
      <c r="I91" s="116"/>
      <c r="J91" s="116"/>
      <c r="K91" s="116"/>
      <c r="L91" s="116"/>
      <c r="M91" s="109"/>
      <c r="N91" s="109"/>
      <c r="O91" s="109"/>
      <c r="P91" s="109"/>
    </row>
    <row r="92" spans="2:16" ht="18" customHeight="1" thickBot="1">
      <c r="B92" s="360"/>
      <c r="C92" s="361"/>
      <c r="D92" s="362"/>
      <c r="F92" s="116"/>
      <c r="G92" s="116"/>
      <c r="H92" s="116"/>
      <c r="I92" s="116"/>
      <c r="J92" s="116"/>
      <c r="K92" s="116"/>
      <c r="L92" s="116"/>
      <c r="M92" s="109"/>
      <c r="N92" s="109"/>
      <c r="O92" s="109"/>
      <c r="P92" s="109"/>
    </row>
    <row r="93" spans="2:16" ht="41.4" customHeight="1" thickBot="1">
      <c r="B93" s="360"/>
      <c r="C93" s="361"/>
      <c r="D93" s="362"/>
      <c r="E93" s="354" t="s">
        <v>570</v>
      </c>
      <c r="F93" s="355" t="s">
        <v>603</v>
      </c>
      <c r="G93" s="356"/>
      <c r="H93" s="116"/>
      <c r="I93" s="116"/>
      <c r="J93" s="116"/>
      <c r="K93" s="116"/>
      <c r="L93" s="116"/>
      <c r="M93" s="109"/>
      <c r="N93" s="109"/>
      <c r="O93" s="109"/>
      <c r="P93" s="109"/>
    </row>
    <row r="94" spans="2:16" ht="27" customHeight="1">
      <c r="B94" s="360"/>
      <c r="C94" s="361"/>
      <c r="D94" s="362"/>
      <c r="E94" s="354"/>
      <c r="F94" s="141" t="s">
        <v>598</v>
      </c>
      <c r="G94" s="135" t="s">
        <v>593</v>
      </c>
      <c r="H94" s="116"/>
      <c r="I94" s="116"/>
      <c r="J94" s="116"/>
      <c r="K94" s="116"/>
      <c r="L94" s="116"/>
      <c r="M94" s="109"/>
      <c r="N94" s="109"/>
      <c r="O94" s="109"/>
      <c r="P94" s="109"/>
    </row>
    <row r="95" spans="2:16" ht="25.2" customHeight="1">
      <c r="B95" s="360"/>
      <c r="C95" s="361"/>
      <c r="D95" s="362"/>
      <c r="E95" s="354"/>
      <c r="F95" s="142" t="s">
        <v>592</v>
      </c>
      <c r="G95" s="135" t="s">
        <v>599</v>
      </c>
      <c r="H95" s="116"/>
      <c r="I95" s="116"/>
      <c r="J95" s="116"/>
      <c r="K95" s="116"/>
      <c r="L95" s="116"/>
      <c r="M95" s="109"/>
      <c r="N95" s="109"/>
      <c r="O95" s="109"/>
      <c r="P95" s="109"/>
    </row>
    <row r="96" spans="2:16" ht="24" customHeight="1">
      <c r="B96" s="360"/>
      <c r="C96" s="361"/>
      <c r="D96" s="362"/>
      <c r="E96" s="354"/>
      <c r="F96" s="137" t="s">
        <v>594</v>
      </c>
      <c r="G96" s="135" t="s">
        <v>595</v>
      </c>
      <c r="H96" s="116"/>
      <c r="I96" s="116"/>
      <c r="J96" s="116"/>
      <c r="K96" s="116"/>
      <c r="L96" s="116"/>
      <c r="M96" s="109"/>
      <c r="N96" s="109"/>
      <c r="O96" s="109"/>
      <c r="P96" s="109"/>
    </row>
    <row r="97" spans="2:16" ht="28.95" customHeight="1" thickBot="1">
      <c r="B97" s="363"/>
      <c r="C97" s="364"/>
      <c r="D97" s="365"/>
      <c r="E97" s="354"/>
      <c r="F97" s="138" t="s">
        <v>596</v>
      </c>
      <c r="G97" s="139" t="s">
        <v>597</v>
      </c>
      <c r="H97" s="116"/>
      <c r="I97" s="116"/>
      <c r="J97" s="116"/>
      <c r="K97" s="116"/>
      <c r="L97" s="116"/>
      <c r="M97" s="109"/>
      <c r="N97" s="109"/>
      <c r="O97" s="109"/>
      <c r="P97" s="109"/>
    </row>
    <row r="98" spans="2:16" ht="17.399999999999999">
      <c r="F98" s="116"/>
      <c r="G98" s="116"/>
      <c r="H98" s="116"/>
      <c r="I98" s="116"/>
      <c r="J98" s="116"/>
      <c r="K98" s="116"/>
      <c r="L98" s="116"/>
      <c r="M98" s="109"/>
      <c r="N98" s="109"/>
      <c r="O98" s="109"/>
      <c r="P98" s="109"/>
    </row>
    <row r="99" spans="2:16" ht="17.399999999999999">
      <c r="F99" s="116"/>
      <c r="G99" s="116"/>
      <c r="H99" s="116"/>
      <c r="I99" s="116"/>
      <c r="J99" s="116"/>
      <c r="K99" s="116"/>
      <c r="L99" s="116"/>
      <c r="M99" s="109"/>
      <c r="N99" s="109"/>
      <c r="O99" s="109"/>
      <c r="P99" s="109"/>
    </row>
    <row r="100" spans="2:16" ht="17.399999999999999">
      <c r="B100" s="29" t="s">
        <v>746</v>
      </c>
      <c r="F100" s="116"/>
      <c r="G100" s="116"/>
      <c r="H100" s="116"/>
      <c r="I100" s="116"/>
      <c r="J100" s="116"/>
      <c r="K100" s="116"/>
      <c r="L100" s="116"/>
      <c r="M100" s="109"/>
      <c r="N100" s="109"/>
      <c r="O100" s="109"/>
      <c r="P100" s="109"/>
    </row>
    <row r="101" spans="2:16" ht="17.399999999999999"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</row>
    <row r="102" spans="2:16" ht="17.399999999999999"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</row>
    <row r="103" spans="2:16" ht="22.2">
      <c r="F103" s="108"/>
      <c r="G103" s="108"/>
      <c r="H103" s="108"/>
      <c r="I103" s="108"/>
    </row>
    <row r="104" spans="2:16" ht="22.2">
      <c r="F104" s="108"/>
      <c r="G104" s="108"/>
      <c r="H104" s="108"/>
      <c r="I104" s="108"/>
    </row>
    <row r="105" spans="2:16" ht="22.2">
      <c r="F105" s="108"/>
      <c r="G105" s="108"/>
      <c r="H105" s="108"/>
      <c r="I105" s="108"/>
    </row>
    <row r="106" spans="2:16" ht="22.2">
      <c r="F106" s="108"/>
      <c r="G106" s="108"/>
      <c r="H106" s="108"/>
      <c r="I106" s="108"/>
    </row>
    <row r="107" spans="2:16" ht="22.2">
      <c r="F107" s="108"/>
      <c r="G107" s="108"/>
      <c r="H107" s="108"/>
      <c r="I107" s="108"/>
    </row>
    <row r="108" spans="2:16" ht="22.2">
      <c r="F108" s="108"/>
      <c r="G108" s="108"/>
      <c r="H108" s="108"/>
      <c r="I108" s="108"/>
    </row>
    <row r="109" spans="2:16" ht="22.2">
      <c r="F109" s="108"/>
      <c r="G109" s="108"/>
      <c r="H109" s="108"/>
      <c r="I109" s="108"/>
    </row>
    <row r="110" spans="2:16" ht="22.2">
      <c r="F110" s="108"/>
      <c r="G110" s="108"/>
      <c r="H110" s="108"/>
      <c r="I110" s="108"/>
    </row>
    <row r="111" spans="2:16" ht="22.2">
      <c r="F111" s="108"/>
      <c r="G111" s="108"/>
      <c r="H111" s="108"/>
      <c r="I111" s="108"/>
    </row>
    <row r="112" spans="2:16" ht="22.2">
      <c r="F112" s="108"/>
      <c r="G112" s="108"/>
      <c r="H112" s="108"/>
      <c r="I112" s="108"/>
    </row>
    <row r="113" spans="6:9" ht="22.2">
      <c r="F113" s="108"/>
      <c r="G113" s="108"/>
      <c r="H113" s="108"/>
      <c r="I113" s="108"/>
    </row>
  </sheetData>
  <dataConsolidate/>
  <customSheetViews>
    <customSheetView guid="{DEEDC23C-5E0A-459A-BE7F-FE8D0597CCC6}">
      <selection activeCell="C54" sqref="C54"/>
      <pageMargins left="0.7" right="0.7" top="0.75" bottom="0.75" header="0.3" footer="0.3"/>
      <pageSetup orientation="portrait" horizontalDpi="4294967293" verticalDpi="0" r:id="rId1"/>
    </customSheetView>
  </customSheetViews>
  <mergeCells count="30">
    <mergeCell ref="E93:E97"/>
    <mergeCell ref="F93:G93"/>
    <mergeCell ref="B68:D77"/>
    <mergeCell ref="B80:D97"/>
    <mergeCell ref="B53:B55"/>
    <mergeCell ref="B61:D61"/>
    <mergeCell ref="B62:D62"/>
    <mergeCell ref="B63:D63"/>
    <mergeCell ref="B64:D64"/>
    <mergeCell ref="G77:K77"/>
    <mergeCell ref="E80:E85"/>
    <mergeCell ref="F80:G80"/>
    <mergeCell ref="E87:E91"/>
    <mergeCell ref="F87:G87"/>
    <mergeCell ref="B31:B33"/>
    <mergeCell ref="B35:D35"/>
    <mergeCell ref="B36:D36"/>
    <mergeCell ref="E68:E77"/>
    <mergeCell ref="F69:F72"/>
    <mergeCell ref="F73:F75"/>
    <mergeCell ref="B6:D6"/>
    <mergeCell ref="B3:D3"/>
    <mergeCell ref="B4:D4"/>
    <mergeCell ref="B8:B18"/>
    <mergeCell ref="B27:B29"/>
    <mergeCell ref="G8:H8"/>
    <mergeCell ref="G16:H16"/>
    <mergeCell ref="B20:B22"/>
    <mergeCell ref="B24:D24"/>
    <mergeCell ref="B25:D25"/>
  </mergeCells>
  <phoneticPr fontId="9" type="noConversion"/>
  <conditionalFormatting sqref="B25">
    <cfRule type="cellIs" dxfId="19" priority="111" operator="greaterThan">
      <formula>250</formula>
    </cfRule>
    <cfRule type="cellIs" dxfId="18" priority="112" operator="between">
      <formula>150</formula>
      <formula>250</formula>
    </cfRule>
    <cfRule type="cellIs" dxfId="17" priority="113" operator="between">
      <formula>-20</formula>
      <formula>150</formula>
    </cfRule>
    <cfRule type="cellIs" dxfId="16" priority="114" operator="between">
      <formula>-150</formula>
      <formula>-20</formula>
    </cfRule>
    <cfRule type="cellIs" dxfId="15" priority="115" operator="lessThan">
      <formula>-150</formula>
    </cfRule>
  </conditionalFormatting>
  <conditionalFormatting sqref="B36">
    <cfRule type="cellIs" dxfId="14" priority="46" operator="greaterThan">
      <formula>250</formula>
    </cfRule>
    <cfRule type="cellIs" dxfId="13" priority="47" operator="between">
      <formula>150</formula>
      <formula>250</formula>
    </cfRule>
    <cfRule type="cellIs" dxfId="12" priority="48" operator="between">
      <formula>-20</formula>
      <formula>150</formula>
    </cfRule>
    <cfRule type="cellIs" dxfId="11" priority="49" operator="between">
      <formula>-150</formula>
      <formula>-20</formula>
    </cfRule>
    <cfRule type="cellIs" dxfId="10" priority="50" operator="lessThan">
      <formula>-150</formula>
    </cfRule>
  </conditionalFormatting>
  <conditionalFormatting sqref="B62">
    <cfRule type="cellIs" dxfId="9" priority="36" operator="greaterThan">
      <formula>250</formula>
    </cfRule>
    <cfRule type="cellIs" dxfId="8" priority="37" operator="between">
      <formula>150</formula>
      <formula>250</formula>
    </cfRule>
    <cfRule type="cellIs" dxfId="7" priority="38" operator="between">
      <formula>-20</formula>
      <formula>150</formula>
    </cfRule>
    <cfRule type="cellIs" dxfId="6" priority="39" operator="between">
      <formula>-150</formula>
      <formula>-20</formula>
    </cfRule>
    <cfRule type="cellIs" dxfId="5" priority="40" operator="lessThan">
      <formula>-150</formula>
    </cfRule>
  </conditionalFormatting>
  <conditionalFormatting sqref="B64">
    <cfRule type="cellIs" dxfId="4" priority="26" operator="greaterThan">
      <formula>250</formula>
    </cfRule>
    <cfRule type="cellIs" dxfId="3" priority="27" operator="between">
      <formula>150</formula>
      <formula>250</formula>
    </cfRule>
    <cfRule type="cellIs" dxfId="2" priority="28" operator="between">
      <formula>-20</formula>
      <formula>150</formula>
    </cfRule>
    <cfRule type="cellIs" dxfId="1" priority="29" operator="between">
      <formula>-150</formula>
      <formula>-20</formula>
    </cfRule>
    <cfRule type="cellIs" dxfId="0" priority="30" operator="lessThan">
      <formula>-150</formula>
    </cfRule>
  </conditionalFormatting>
  <dataValidations count="8">
    <dataValidation type="list" allowBlank="1" showInputMessage="1" showErrorMessage="1" sqref="D55:D56" xr:uid="{00000000-0002-0000-0000-000000000000}">
      <formula1>ClothingColour</formula1>
    </dataValidation>
    <dataValidation type="list" allowBlank="1" showInputMessage="1" showErrorMessage="1" sqref="D58 D22" xr:uid="{00000000-0002-0000-0000-000004000000}">
      <formula1>Activity</formula1>
    </dataValidation>
    <dataValidation type="list" allowBlank="1" showInputMessage="1" showErrorMessage="1" sqref="D48" xr:uid="{00000000-0002-0000-0000-000006000000}">
      <formula1>Ground</formula1>
    </dataValidation>
    <dataValidation type="list" allowBlank="1" showInputMessage="1" showErrorMessage="1" sqref="D44" xr:uid="{00000000-0002-0000-0000-000007000000}">
      <formula1>Visibility</formula1>
    </dataValidation>
    <dataValidation type="list" allowBlank="1" showInputMessage="1" showErrorMessage="1" sqref="D46" xr:uid="{00000000-0002-0000-0000-000008000000}">
      <formula1>BuildingMaterial</formula1>
    </dataValidation>
    <dataValidation type="list" allowBlank="1" showInputMessage="1" showErrorMessage="1" sqref="D42" xr:uid="{C0C4B162-C5C2-4E2D-AB71-7C8A0454F26F}">
      <formula1>InLeaf</formula1>
    </dataValidation>
    <dataValidation type="list" allowBlank="1" showInputMessage="1" showErrorMessage="1" sqref="D40" xr:uid="{00000000-0002-0000-0000-00000A000000}">
      <formula1>Tree</formula1>
    </dataValidation>
    <dataValidation type="list" allowBlank="1" showInputMessage="1" showErrorMessage="1" sqref="D53 D20" xr:uid="{00000000-0002-0000-0000-00000B000000}">
      <formula1>Clothing</formula1>
    </dataValidation>
  </dataValidations>
  <hyperlinks>
    <hyperlink ref="G16" r:id="rId2" display="Solar Elevation Calculator" xr:uid="{216F95AE-E9D8-4917-AA50-6AA0B70F48FC}"/>
    <hyperlink ref="G8" r:id="rId3" xr:uid="{AD627B1A-30AB-4091-A15C-AA8AB5581727}"/>
    <hyperlink ref="F25" r:id="rId4" display="   (Koppen-Geiger climate zone )" xr:uid="{6C323681-33D0-4D56-A92F-4DD7279DF24E}"/>
  </hyperlinks>
  <pageMargins left="0.7" right="0.7" top="0.75" bottom="0.75" header="0.3" footer="0.3"/>
  <pageSetup orientation="portrait" horizontalDpi="4294967293"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Lists!$Q$3:$Q$9</xm:f>
          </x14:formula1>
          <xm:sqref>D51</xm:sqref>
        </x14:dataValidation>
        <x14:dataValidation type="list" allowBlank="1" showInputMessage="1" showErrorMessage="1" xr:uid="{00000000-0002-0000-0000-000015000000}">
          <x14:formula1>
            <xm:f>Lists!$AF$3:$AF$182</xm:f>
          </x14:formula1>
          <xm:sqref>D27</xm:sqref>
        </x14:dataValidation>
        <x14:dataValidation type="list" allowBlank="1" showInputMessage="1" showErrorMessage="1" xr:uid="{00000000-0002-0000-0000-000016000000}">
          <x14:formula1>
            <xm:f>Lists!$AG$3:$AG$202</xm:f>
          </x14:formula1>
          <xm:sqref>D29</xm:sqref>
        </x14:dataValidation>
        <x14:dataValidation type="list" allowBlank="1" showInputMessage="1" showErrorMessage="1" xr:uid="{00000000-0002-0000-0000-000017000000}">
          <x14:formula1>
            <xm:f>Lists!$AE$3:$AE$102</xm:f>
          </x14:formula1>
          <xm:sqref>D31</xm:sqref>
        </x14:dataValidation>
        <x14:dataValidation type="list" allowBlank="1" showInputMessage="1" showErrorMessage="1" xr:uid="{00000000-0002-0000-0000-000018000000}">
          <x14:formula1>
            <xm:f>Lists!$AH$3:$AH$4</xm:f>
          </x14:formula1>
          <xm:sqref>D33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G11"/>
  <sheetViews>
    <sheetView workbookViewId="0">
      <selection activeCell="G8" sqref="G8"/>
    </sheetView>
  </sheetViews>
  <sheetFormatPr defaultRowHeight="12.3"/>
  <cols>
    <col min="1" max="1" width="16" customWidth="1"/>
    <col min="2" max="2" width="19.6640625" customWidth="1"/>
    <col min="3" max="3" width="15.109375" customWidth="1"/>
    <col min="4" max="4" width="14.109375" customWidth="1"/>
    <col min="5" max="5" width="13.88671875" customWidth="1"/>
    <col min="6" max="6" width="16.109375" customWidth="1"/>
  </cols>
  <sheetData>
    <row r="1" spans="1:7">
      <c r="A1" s="1" t="s">
        <v>497</v>
      </c>
      <c r="B1" s="1" t="s">
        <v>503</v>
      </c>
    </row>
    <row r="2" spans="1:7">
      <c r="A2" s="1" t="s">
        <v>497</v>
      </c>
      <c r="B2" s="1" t="s">
        <v>504</v>
      </c>
    </row>
    <row r="3" spans="1:7">
      <c r="A3" s="1" t="s">
        <v>498</v>
      </c>
      <c r="B3" s="1" t="s">
        <v>503</v>
      </c>
    </row>
    <row r="4" spans="1:7">
      <c r="A4" s="1" t="s">
        <v>498</v>
      </c>
      <c r="B4" s="1" t="s">
        <v>504</v>
      </c>
    </row>
    <row r="7" spans="1:7" ht="30">
      <c r="A7" s="6" t="s">
        <v>265</v>
      </c>
      <c r="B7" s="6" t="s">
        <v>266</v>
      </c>
      <c r="C7" s="6" t="s">
        <v>267</v>
      </c>
      <c r="D7" s="6" t="s">
        <v>292</v>
      </c>
      <c r="E7" s="6" t="s">
        <v>294</v>
      </c>
      <c r="F7" s="6" t="s">
        <v>291</v>
      </c>
      <c r="G7" s="6" t="s">
        <v>293</v>
      </c>
    </row>
    <row r="8" spans="1:7">
      <c r="A8" s="7">
        <v>1350</v>
      </c>
      <c r="B8" s="7">
        <v>1350</v>
      </c>
      <c r="C8" s="7">
        <v>0</v>
      </c>
      <c r="D8" s="8">
        <v>0</v>
      </c>
      <c r="E8" s="8" t="e">
        <f>#REF!</f>
        <v>#REF!</v>
      </c>
      <c r="F8" s="7">
        <f>A8*(-0.37*(1-EXP(-D8/0.72))+1)</f>
        <v>1350</v>
      </c>
      <c r="G8" s="7" t="e">
        <f>B8*(-0.8*(1-EXP(-E8/1.095))+1)</f>
        <v>#REF!</v>
      </c>
    </row>
    <row r="10" spans="1:7" ht="30">
      <c r="A10" s="6" t="s">
        <v>265</v>
      </c>
      <c r="B10" s="6" t="s">
        <v>266</v>
      </c>
      <c r="C10" s="6" t="s">
        <v>267</v>
      </c>
      <c r="D10" s="6" t="s">
        <v>292</v>
      </c>
      <c r="E10" s="6" t="s">
        <v>294</v>
      </c>
      <c r="F10" s="6" t="s">
        <v>291</v>
      </c>
      <c r="G10" s="6" t="s">
        <v>293</v>
      </c>
    </row>
    <row r="11" spans="1:7">
      <c r="A11" s="7">
        <v>1350</v>
      </c>
      <c r="B11" s="21">
        <v>1350</v>
      </c>
      <c r="C11" s="7">
        <v>0</v>
      </c>
      <c r="D11" s="8">
        <v>0</v>
      </c>
      <c r="E11" s="8" t="e">
        <f>#REF!</f>
        <v>#REF!</v>
      </c>
      <c r="F11" s="7">
        <f>A11*(-0.37*(1-EXP(-D11/0.72))+1)</f>
        <v>1350</v>
      </c>
      <c r="G11" s="7" t="e">
        <f>B11*(-0.8*(1-EXP(-E11/1.095))+1)</f>
        <v>#REF!</v>
      </c>
    </row>
  </sheetData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H20" sqref="H20"/>
    </sheetView>
  </sheetViews>
  <sheetFormatPr defaultRowHeight="12.3"/>
  <sheetData/>
  <customSheetViews>
    <customSheetView guid="{0A510603-FE9B-4CD5-A4D2-8C62E5448D4B}" showRuler="0">
      <selection activeCell="H20" sqref="H20"/>
      <pageMargins left="0.75" right="0.75" top="1" bottom="1" header="0.5" footer="0.5"/>
      <pageSetup orientation="portrait" horizontalDpi="1200" verticalDpi="1200" r:id="rId1"/>
      <headerFooter alignWithMargins="0"/>
    </customSheetView>
    <customSheetView guid="{C2ED3EC0-A5A2-11D4-AD0B-005004AD6C46}" showRuler="0">
      <selection activeCell="H20" sqref="H20"/>
      <pageMargins left="0.75" right="0.75" top="1" bottom="1" header="0.5" footer="0.5"/>
      <headerFooter alignWithMargins="0"/>
    </customSheetView>
    <customSheetView guid="{D174C659-3169-4E0A-9FBC-11FF945F8575}" showRuler="0">
      <selection activeCell="H20" sqref="H20"/>
      <pageMargins left="0.75" right="0.75" top="1" bottom="1" header="0.5" footer="0.5"/>
      <headerFooter alignWithMargins="0"/>
    </customSheetView>
    <customSheetView guid="{E8C32DA9-0164-4F67-B3EC-42FCEEB16D5C}" showRuler="0">
      <selection activeCell="H20" sqref="H20"/>
      <pageMargins left="0.75" right="0.75" top="1" bottom="1" header="0.5" footer="0.5"/>
      <headerFooter alignWithMargins="0"/>
    </customSheetView>
    <customSheetView guid="{61DBA1B3-E59B-4919-9AAE-0AA2686EA6EF}" showPageBreaks="1" showRuler="0">
      <selection activeCell="H20" sqref="H20"/>
      <pageMargins left="0.75" right="0.75" top="1" bottom="1" header="0.5" footer="0.5"/>
      <pageSetup orientation="portrait" horizontalDpi="1200" verticalDpi="1200" r:id="rId2"/>
      <headerFooter alignWithMargins="0"/>
    </customSheetView>
    <customSheetView guid="{B8F7A2A6-ADDA-446E-A2E2-71D108D720EE}" showRuler="0">
      <selection activeCell="H20" sqref="H20"/>
      <pageMargins left="0.75" right="0.75" top="1" bottom="1" header="0.5" footer="0.5"/>
      <pageSetup orientation="portrait" horizontalDpi="1200" verticalDpi="1200" r:id="rId3"/>
      <headerFooter alignWithMargins="0"/>
    </customSheetView>
    <customSheetView guid="{D2F15E24-6D0C-42A6-AC7E-867035E37C0D}" showRuler="0">
      <selection activeCell="H20" sqref="H20"/>
      <pageMargins left="0.75" right="0.75" top="1" bottom="1" header="0.5" footer="0.5"/>
      <headerFooter alignWithMargins="0"/>
    </customSheetView>
    <customSheetView guid="{DEEDC23C-5E0A-459A-BE7F-FE8D0597CCC6}">
      <selection activeCell="H20" sqref="H20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"/>
  <dimension ref="A1"/>
  <sheetViews>
    <sheetView workbookViewId="0">
      <selection activeCell="I17" sqref="I17"/>
    </sheetView>
  </sheetViews>
  <sheetFormatPr defaultRowHeight="12.3"/>
  <sheetData/>
  <customSheetViews>
    <customSheetView guid="{0A510603-FE9B-4CD5-A4D2-8C62E5448D4B}" showRuler="0">
      <selection activeCell="F37" sqref="F37"/>
      <pageMargins left="0.75" right="0.75" top="1" bottom="1" header="0.5" footer="0.5"/>
      <pageSetup orientation="portrait" horizontalDpi="1200" verticalDpi="1200" r:id="rId1"/>
      <headerFooter alignWithMargins="0"/>
    </customSheetView>
    <customSheetView guid="{C2ED3EC0-A5A2-11D4-AD0B-005004AD6C46}" showRuler="0">
      <pageMargins left="0.75" right="0.75" top="1" bottom="1" header="0.5" footer="0.5"/>
      <headerFooter alignWithMargins="0"/>
    </customSheetView>
    <customSheetView guid="{D174C659-3169-4E0A-9FBC-11FF945F8575}" showRuler="0">
      <selection activeCell="I17" sqref="I17"/>
      <pageMargins left="0.75" right="0.75" top="1" bottom="1" header="0.5" footer="0.5"/>
      <headerFooter alignWithMargins="0"/>
    </customSheetView>
    <customSheetView guid="{E8C32DA9-0164-4F67-B3EC-42FCEEB16D5C}" showRuler="0">
      <selection activeCell="I17" sqref="I17"/>
      <pageMargins left="0.75" right="0.75" top="1" bottom="1" header="0.5" footer="0.5"/>
      <headerFooter alignWithMargins="0"/>
    </customSheetView>
    <customSheetView guid="{61DBA1B3-E59B-4919-9AAE-0AA2686EA6EF}" showPageBreaks="1" showRuler="0">
      <selection activeCell="F37" sqref="F37"/>
      <pageMargins left="0.75" right="0.75" top="1" bottom="1" header="0.5" footer="0.5"/>
      <pageSetup orientation="portrait" horizontalDpi="1200" verticalDpi="1200" r:id="rId2"/>
      <headerFooter alignWithMargins="0"/>
    </customSheetView>
    <customSheetView guid="{B8F7A2A6-ADDA-446E-A2E2-71D108D720EE}" showRuler="0">
      <selection activeCell="F37" sqref="F37"/>
      <pageMargins left="0.75" right="0.75" top="1" bottom="1" header="0.5" footer="0.5"/>
      <pageSetup orientation="portrait" horizontalDpi="1200" verticalDpi="1200" r:id="rId3"/>
      <headerFooter alignWithMargins="0"/>
    </customSheetView>
    <customSheetView guid="{D2F15E24-6D0C-42A6-AC7E-867035E37C0D}" showRuler="0">
      <selection activeCell="I17" sqref="I17"/>
      <pageMargins left="0.75" right="0.75" top="1" bottom="1" header="0.5" footer="0.5"/>
      <headerFooter alignWithMargins="0"/>
    </customSheetView>
    <customSheetView guid="{DEEDC23C-5E0A-459A-BE7F-FE8D0597CCC6}">
      <selection activeCell="I17" sqref="I17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62"/>
  <sheetViews>
    <sheetView workbookViewId="0">
      <selection activeCell="H14" sqref="H14"/>
    </sheetView>
  </sheetViews>
  <sheetFormatPr defaultRowHeight="12.3"/>
  <cols>
    <col min="1" max="1" width="24.6640625" customWidth="1"/>
    <col min="2" max="2" width="29.109375" customWidth="1"/>
    <col min="3" max="3" width="25.88671875" customWidth="1"/>
  </cols>
  <sheetData>
    <row r="1" spans="1:11" ht="17.7">
      <c r="A1" s="3" t="s">
        <v>220</v>
      </c>
    </row>
    <row r="3" spans="1:11" ht="15">
      <c r="A3" s="5" t="s">
        <v>221</v>
      </c>
      <c r="B3" s="5"/>
      <c r="C3" s="5"/>
      <c r="D3" s="5"/>
      <c r="E3" s="5"/>
    </row>
    <row r="4" spans="1:11" ht="15">
      <c r="A4" s="5"/>
      <c r="B4" s="5"/>
      <c r="C4" s="5"/>
      <c r="D4" s="5"/>
      <c r="E4" s="5"/>
    </row>
    <row r="5" spans="1:11" ht="15">
      <c r="A5" s="5" t="s">
        <v>219</v>
      </c>
      <c r="B5" s="5"/>
      <c r="C5" s="5"/>
      <c r="D5" s="5"/>
      <c r="E5" s="5"/>
    </row>
    <row r="6" spans="1:11" ht="15">
      <c r="A6" s="5"/>
      <c r="B6" s="5"/>
      <c r="C6" s="5"/>
      <c r="D6" s="5"/>
      <c r="E6" s="5"/>
    </row>
    <row r="7" spans="1:11" ht="15">
      <c r="A7" s="5" t="s">
        <v>226</v>
      </c>
      <c r="B7" s="5"/>
      <c r="C7" s="5"/>
      <c r="D7" s="5"/>
      <c r="E7" s="5"/>
      <c r="H7" s="2" t="s">
        <v>476</v>
      </c>
      <c r="I7" s="2"/>
      <c r="J7" s="2"/>
      <c r="K7" s="2"/>
    </row>
    <row r="8" spans="1:11" ht="15">
      <c r="A8" s="5"/>
      <c r="B8" s="5"/>
      <c r="C8" s="5"/>
      <c r="D8" s="5"/>
      <c r="E8" s="5"/>
      <c r="H8" s="2" t="s">
        <v>508</v>
      </c>
      <c r="I8" s="2"/>
      <c r="J8" s="2"/>
      <c r="K8" s="2"/>
    </row>
    <row r="9" spans="1:11" ht="15">
      <c r="A9" s="5" t="s">
        <v>227</v>
      </c>
      <c r="B9" s="5"/>
      <c r="C9" s="5"/>
      <c r="D9" s="5"/>
      <c r="E9" s="5"/>
      <c r="H9" s="2"/>
      <c r="I9" s="2"/>
      <c r="J9" s="2"/>
      <c r="K9" s="2"/>
    </row>
    <row r="10" spans="1:11" ht="15">
      <c r="A10" s="5"/>
      <c r="B10" s="5"/>
      <c r="C10" s="5"/>
      <c r="D10" s="5"/>
      <c r="E10" s="5"/>
    </row>
    <row r="11" spans="1:11" ht="15">
      <c r="A11" s="5" t="s">
        <v>257</v>
      </c>
      <c r="B11" s="5"/>
      <c r="C11" s="5"/>
      <c r="D11" s="5"/>
      <c r="E11" s="5"/>
    </row>
    <row r="12" spans="1:11" ht="15">
      <c r="A12" s="5"/>
      <c r="B12" s="5"/>
      <c r="C12" s="5"/>
      <c r="D12" s="5"/>
      <c r="E12" s="5"/>
    </row>
    <row r="13" spans="1:11" ht="15">
      <c r="A13" s="5"/>
      <c r="B13" s="5"/>
      <c r="C13" s="5"/>
      <c r="D13" s="5"/>
      <c r="E13" s="5"/>
    </row>
    <row r="14" spans="1:11" ht="15">
      <c r="A14" s="12"/>
      <c r="B14" s="13" t="s">
        <v>387</v>
      </c>
      <c r="C14" s="14"/>
      <c r="D14" s="5"/>
      <c r="E14" s="5"/>
    </row>
    <row r="15" spans="1:11" ht="14.4" thickBot="1">
      <c r="A15" s="12"/>
      <c r="B15" s="14"/>
      <c r="C15" s="14"/>
    </row>
    <row r="16" spans="1:11" ht="13.8">
      <c r="A16" s="15" t="s">
        <v>388</v>
      </c>
      <c r="B16" s="16" t="s">
        <v>389</v>
      </c>
      <c r="C16" s="17" t="s">
        <v>390</v>
      </c>
    </row>
    <row r="17" spans="1:3" ht="14.1">
      <c r="A17" s="18" t="s">
        <v>391</v>
      </c>
      <c r="B17" s="9" t="s">
        <v>342</v>
      </c>
      <c r="C17" s="9" t="s">
        <v>392</v>
      </c>
    </row>
    <row r="18" spans="1:3" ht="14.1">
      <c r="A18" s="18" t="s">
        <v>391</v>
      </c>
      <c r="B18" s="9" t="s">
        <v>343</v>
      </c>
      <c r="C18" s="9" t="s">
        <v>393</v>
      </c>
    </row>
    <row r="19" spans="1:3" ht="14.1">
      <c r="A19" s="18" t="s">
        <v>391</v>
      </c>
      <c r="B19" s="9" t="s">
        <v>344</v>
      </c>
      <c r="C19" s="9" t="s">
        <v>394</v>
      </c>
    </row>
    <row r="20" spans="1:3" ht="14.1">
      <c r="A20" s="18" t="s">
        <v>395</v>
      </c>
      <c r="B20" s="9" t="s">
        <v>345</v>
      </c>
      <c r="C20" s="9" t="s">
        <v>396</v>
      </c>
    </row>
    <row r="21" spans="1:3" ht="14.1">
      <c r="A21" s="18" t="s">
        <v>391</v>
      </c>
      <c r="B21" s="9" t="s">
        <v>75</v>
      </c>
      <c r="C21" s="9" t="s">
        <v>397</v>
      </c>
    </row>
    <row r="22" spans="1:3" ht="14.1">
      <c r="A22" s="18" t="s">
        <v>398</v>
      </c>
      <c r="B22" s="9" t="s">
        <v>346</v>
      </c>
      <c r="C22" s="9" t="s">
        <v>399</v>
      </c>
    </row>
    <row r="23" spans="1:3" ht="14.1">
      <c r="A23" s="18" t="s">
        <v>400</v>
      </c>
      <c r="B23" s="9" t="s">
        <v>282</v>
      </c>
      <c r="C23" s="9" t="s">
        <v>401</v>
      </c>
    </row>
    <row r="24" spans="1:3" ht="14.1">
      <c r="A24" s="18" t="s">
        <v>402</v>
      </c>
      <c r="B24" s="9" t="s">
        <v>347</v>
      </c>
      <c r="C24" s="9" t="s">
        <v>403</v>
      </c>
    </row>
    <row r="25" spans="1:3" ht="14.1">
      <c r="A25" s="18" t="s">
        <v>404</v>
      </c>
      <c r="B25" s="9" t="s">
        <v>348</v>
      </c>
      <c r="C25" s="9" t="s">
        <v>405</v>
      </c>
    </row>
    <row r="26" spans="1:3" ht="14.1">
      <c r="A26" s="18" t="s">
        <v>402</v>
      </c>
      <c r="B26" s="9" t="s">
        <v>349</v>
      </c>
      <c r="C26" s="9" t="s">
        <v>406</v>
      </c>
    </row>
    <row r="27" spans="1:3" ht="14.1">
      <c r="A27" s="18" t="s">
        <v>407</v>
      </c>
      <c r="B27" s="9" t="s">
        <v>350</v>
      </c>
      <c r="C27" s="9" t="s">
        <v>408</v>
      </c>
    </row>
    <row r="28" spans="1:3" ht="14.1">
      <c r="A28" s="18" t="s">
        <v>395</v>
      </c>
      <c r="B28" s="9" t="s">
        <v>351</v>
      </c>
      <c r="C28" s="9" t="s">
        <v>409</v>
      </c>
    </row>
    <row r="29" spans="1:3" ht="14.1">
      <c r="A29" s="18" t="s">
        <v>404</v>
      </c>
      <c r="B29" s="9" t="s">
        <v>352</v>
      </c>
      <c r="C29" s="9" t="s">
        <v>410</v>
      </c>
    </row>
    <row r="30" spans="1:3" ht="14.1">
      <c r="A30" s="18" t="s">
        <v>411</v>
      </c>
      <c r="B30" s="9" t="s">
        <v>353</v>
      </c>
      <c r="C30" s="9" t="s">
        <v>412</v>
      </c>
    </row>
    <row r="31" spans="1:3" ht="14.1">
      <c r="A31" s="18" t="s">
        <v>400</v>
      </c>
      <c r="B31" s="9" t="s">
        <v>354</v>
      </c>
      <c r="C31" s="9" t="s">
        <v>413</v>
      </c>
    </row>
    <row r="32" spans="1:3" ht="14.1">
      <c r="A32" s="18" t="s">
        <v>414</v>
      </c>
      <c r="B32" s="9" t="s">
        <v>355</v>
      </c>
      <c r="C32" s="19" t="s">
        <v>415</v>
      </c>
    </row>
    <row r="33" spans="1:3" ht="14.1">
      <c r="A33" s="18" t="s">
        <v>416</v>
      </c>
      <c r="B33" s="10" t="s">
        <v>356</v>
      </c>
      <c r="C33" s="19" t="s">
        <v>417</v>
      </c>
    </row>
    <row r="34" spans="1:3" ht="14.1">
      <c r="A34" s="18" t="s">
        <v>400</v>
      </c>
      <c r="B34" s="10" t="s">
        <v>357</v>
      </c>
      <c r="C34" s="19" t="s">
        <v>418</v>
      </c>
    </row>
    <row r="35" spans="1:3" ht="14.1">
      <c r="A35" s="18" t="s">
        <v>419</v>
      </c>
      <c r="B35" s="10" t="s">
        <v>358</v>
      </c>
      <c r="C35" s="19" t="s">
        <v>420</v>
      </c>
    </row>
    <row r="36" spans="1:3" ht="14.1">
      <c r="A36" s="18" t="s">
        <v>421</v>
      </c>
      <c r="B36" s="10" t="s">
        <v>359</v>
      </c>
      <c r="C36" s="19" t="s">
        <v>422</v>
      </c>
    </row>
    <row r="37" spans="1:3" ht="14.1">
      <c r="A37" s="18" t="s">
        <v>423</v>
      </c>
      <c r="B37" s="9" t="s">
        <v>360</v>
      </c>
      <c r="C37" s="9" t="s">
        <v>424</v>
      </c>
    </row>
    <row r="38" spans="1:3" ht="14.1">
      <c r="A38" s="18" t="s">
        <v>423</v>
      </c>
      <c r="B38" s="9" t="s">
        <v>361</v>
      </c>
      <c r="C38" s="9" t="s">
        <v>425</v>
      </c>
    </row>
    <row r="39" spans="1:3" ht="14.1">
      <c r="A39" s="18" t="s">
        <v>426</v>
      </c>
      <c r="B39" s="9" t="s">
        <v>362</v>
      </c>
      <c r="C39" s="9" t="s">
        <v>427</v>
      </c>
    </row>
    <row r="40" spans="1:3" ht="14.1">
      <c r="A40" s="18" t="s">
        <v>428</v>
      </c>
      <c r="B40" s="9" t="s">
        <v>363</v>
      </c>
      <c r="C40" s="9" t="s">
        <v>429</v>
      </c>
    </row>
    <row r="41" spans="1:3" ht="14.1">
      <c r="A41" s="18" t="s">
        <v>395</v>
      </c>
      <c r="B41" s="9" t="s">
        <v>364</v>
      </c>
      <c r="C41" s="9" t="s">
        <v>430</v>
      </c>
    </row>
    <row r="42" spans="1:3" ht="14.1">
      <c r="A42" s="18" t="s">
        <v>395</v>
      </c>
      <c r="B42" s="9" t="s">
        <v>365</v>
      </c>
      <c r="C42" s="9" t="s">
        <v>431</v>
      </c>
    </row>
    <row r="43" spans="1:3" ht="14.1">
      <c r="A43" s="18" t="s">
        <v>395</v>
      </c>
      <c r="B43" s="9" t="s">
        <v>366</v>
      </c>
      <c r="C43" s="9" t="s">
        <v>432</v>
      </c>
    </row>
    <row r="44" spans="1:3" ht="14.1">
      <c r="A44" s="18" t="s">
        <v>433</v>
      </c>
      <c r="B44" s="9" t="s">
        <v>367</v>
      </c>
      <c r="C44" s="20" t="s">
        <v>434</v>
      </c>
    </row>
    <row r="45" spans="1:3" ht="14.1">
      <c r="A45" s="18" t="s">
        <v>433</v>
      </c>
      <c r="B45" s="10" t="s">
        <v>368</v>
      </c>
      <c r="C45" s="20" t="s">
        <v>435</v>
      </c>
    </row>
    <row r="46" spans="1:3" ht="14.1">
      <c r="A46" s="18" t="s">
        <v>436</v>
      </c>
      <c r="B46" s="10" t="s">
        <v>369</v>
      </c>
      <c r="C46" s="10" t="s">
        <v>437</v>
      </c>
    </row>
    <row r="47" spans="1:3" ht="14.1">
      <c r="A47" s="18" t="s">
        <v>438</v>
      </c>
      <c r="B47" s="11" t="s">
        <v>370</v>
      </c>
      <c r="C47" s="9" t="s">
        <v>439</v>
      </c>
    </row>
    <row r="48" spans="1:3" ht="14.1">
      <c r="A48" s="18" t="s">
        <v>440</v>
      </c>
      <c r="B48" s="9" t="s">
        <v>371</v>
      </c>
      <c r="C48" s="9" t="s">
        <v>441</v>
      </c>
    </row>
    <row r="49" spans="1:3" ht="14.1">
      <c r="A49" s="18" t="s">
        <v>442</v>
      </c>
      <c r="B49" s="11" t="s">
        <v>372</v>
      </c>
      <c r="C49" s="9" t="s">
        <v>443</v>
      </c>
    </row>
    <row r="50" spans="1:3" ht="14.1">
      <c r="A50" s="18" t="s">
        <v>444</v>
      </c>
      <c r="B50" s="11" t="s">
        <v>373</v>
      </c>
      <c r="C50" s="9" t="s">
        <v>445</v>
      </c>
    </row>
    <row r="51" spans="1:3" ht="14.1">
      <c r="A51" s="18" t="s">
        <v>446</v>
      </c>
      <c r="B51" s="11" t="s">
        <v>374</v>
      </c>
      <c r="C51" s="9" t="s">
        <v>447</v>
      </c>
    </row>
    <row r="52" spans="1:3" ht="14.1">
      <c r="A52" s="18" t="s">
        <v>448</v>
      </c>
      <c r="B52" s="11" t="s">
        <v>375</v>
      </c>
      <c r="C52" s="9" t="s">
        <v>449</v>
      </c>
    </row>
    <row r="53" spans="1:3" ht="14.1">
      <c r="A53" s="18" t="s">
        <v>448</v>
      </c>
      <c r="B53" s="11" t="s">
        <v>376</v>
      </c>
      <c r="C53" s="9" t="s">
        <v>450</v>
      </c>
    </row>
    <row r="54" spans="1:3" ht="14.1">
      <c r="A54" s="18" t="s">
        <v>451</v>
      </c>
      <c r="B54" s="11" t="s">
        <v>377</v>
      </c>
      <c r="C54" s="9" t="s">
        <v>452</v>
      </c>
    </row>
    <row r="55" spans="1:3" ht="14.1">
      <c r="A55" s="18" t="s">
        <v>453</v>
      </c>
      <c r="B55" s="11" t="s">
        <v>378</v>
      </c>
      <c r="C55" s="9" t="s">
        <v>454</v>
      </c>
    </row>
    <row r="56" spans="1:3" ht="14.1">
      <c r="A56" s="18" t="s">
        <v>453</v>
      </c>
      <c r="B56" s="11" t="s">
        <v>379</v>
      </c>
      <c r="C56" s="9" t="s">
        <v>455</v>
      </c>
    </row>
    <row r="57" spans="1:3" ht="14.1">
      <c r="A57" s="18" t="s">
        <v>391</v>
      </c>
      <c r="B57" s="11" t="s">
        <v>380</v>
      </c>
      <c r="C57" s="9" t="s">
        <v>456</v>
      </c>
    </row>
    <row r="58" spans="1:3" ht="14.1">
      <c r="A58" s="18" t="s">
        <v>457</v>
      </c>
      <c r="B58" s="11" t="s">
        <v>381</v>
      </c>
      <c r="C58" s="9" t="s">
        <v>458</v>
      </c>
    </row>
    <row r="59" spans="1:3" ht="14.1">
      <c r="A59" s="18" t="s">
        <v>457</v>
      </c>
      <c r="B59" s="11" t="s">
        <v>382</v>
      </c>
      <c r="C59" s="9" t="s">
        <v>459</v>
      </c>
    </row>
    <row r="60" spans="1:3" ht="14.1">
      <c r="A60" s="18" t="s">
        <v>460</v>
      </c>
      <c r="B60" s="11" t="s">
        <v>383</v>
      </c>
      <c r="C60" s="9" t="s">
        <v>461</v>
      </c>
    </row>
    <row r="61" spans="1:3" ht="14.1">
      <c r="A61" s="18" t="s">
        <v>462</v>
      </c>
      <c r="B61" s="11" t="s">
        <v>384</v>
      </c>
      <c r="C61" s="9" t="s">
        <v>463</v>
      </c>
    </row>
    <row r="62" spans="1:3" ht="14.1">
      <c r="A62" s="18" t="s">
        <v>464</v>
      </c>
      <c r="B62" s="10" t="s">
        <v>385</v>
      </c>
      <c r="C62" s="10" t="s">
        <v>465</v>
      </c>
    </row>
  </sheetData>
  <customSheetViews>
    <customSheetView guid="{DEEDC23C-5E0A-459A-BE7F-FE8D0597CCC6}">
      <selection activeCell="A6" sqref="A6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3:D7"/>
  <sheetViews>
    <sheetView workbookViewId="0">
      <selection activeCell="C14" sqref="C14"/>
    </sheetView>
  </sheetViews>
  <sheetFormatPr defaultRowHeight="12.3"/>
  <cols>
    <col min="1" max="1" width="12.33203125" customWidth="1"/>
  </cols>
  <sheetData>
    <row r="3" spans="1:4">
      <c r="A3" s="4" t="s">
        <v>225</v>
      </c>
      <c r="B3" t="e">
        <f>INDEX(#REF!,MATCH(1,INDEX((#REF!=CC)*(#REF!=CM),),0),MATCH(CT,#REF!,0))</f>
        <v>#REF!</v>
      </c>
      <c r="D3" s="2" t="s">
        <v>335</v>
      </c>
    </row>
    <row r="4" spans="1:4">
      <c r="D4" s="1" t="s">
        <v>336</v>
      </c>
    </row>
    <row r="5" spans="1:4">
      <c r="D5" s="1" t="s">
        <v>337</v>
      </c>
    </row>
    <row r="6" spans="1:4">
      <c r="D6" s="1" t="s">
        <v>338</v>
      </c>
    </row>
    <row r="7" spans="1:4">
      <c r="D7" s="1" t="s">
        <v>339</v>
      </c>
    </row>
  </sheetData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AW1911"/>
  <sheetViews>
    <sheetView zoomScale="85" zoomScaleNormal="85" workbookViewId="0">
      <pane xSplit="2" topLeftCell="Q1" activePane="topRight" state="frozen"/>
      <selection pane="topRight" activeCell="AJ34" sqref="AJ34"/>
    </sheetView>
  </sheetViews>
  <sheetFormatPr defaultColWidth="10.6640625" defaultRowHeight="12.3"/>
  <cols>
    <col min="1" max="1" width="5.109375" style="33" bestFit="1" customWidth="1"/>
    <col min="2" max="2" width="29" style="44" bestFit="1" customWidth="1"/>
    <col min="3" max="3" width="19.109375" style="33" bestFit="1" customWidth="1"/>
    <col min="4" max="5" width="17.33203125" style="33" customWidth="1"/>
    <col min="6" max="6" width="24.6640625" style="33" customWidth="1"/>
    <col min="7" max="7" width="16.33203125" style="33" customWidth="1"/>
    <col min="8" max="8" width="16.6640625" style="33" customWidth="1"/>
    <col min="9" max="9" width="10.6640625" style="33" customWidth="1"/>
    <col min="10" max="11" width="16.6640625" style="33" customWidth="1"/>
    <col min="12" max="12" width="15.33203125" style="33" bestFit="1" customWidth="1"/>
    <col min="13" max="13" width="16.109375" style="33" customWidth="1"/>
    <col min="14" max="14" width="14.5546875" style="33" customWidth="1"/>
    <col min="15" max="15" width="20.88671875" style="33" customWidth="1"/>
    <col min="16" max="16" width="17.6640625" style="33" customWidth="1"/>
    <col min="17" max="17" width="14.33203125" style="33" customWidth="1"/>
    <col min="18" max="18" width="20.6640625" style="33" customWidth="1"/>
    <col min="19" max="19" width="19.33203125" style="33" customWidth="1"/>
    <col min="20" max="20" width="15" style="33" customWidth="1"/>
    <col min="21" max="21" width="8.88671875" style="33" customWidth="1"/>
    <col min="22" max="22" width="18.6640625" style="33" customWidth="1"/>
    <col min="23" max="23" width="14.77734375" style="33" customWidth="1"/>
    <col min="24" max="24" width="19.6640625" style="33" customWidth="1"/>
    <col min="25" max="25" width="20.5546875" style="33" customWidth="1"/>
    <col min="26" max="26" width="23.109375" style="33" customWidth="1"/>
    <col min="27" max="27" width="19.6640625" style="33" customWidth="1"/>
    <col min="28" max="28" width="22.5546875" style="33" customWidth="1"/>
    <col min="29" max="29" width="22" style="33" customWidth="1"/>
    <col min="30" max="30" width="19.109375" style="33" customWidth="1"/>
    <col min="31" max="31" width="30.5546875" style="33" customWidth="1"/>
    <col min="32" max="32" width="24.33203125" style="33" bestFit="1" customWidth="1"/>
    <col min="33" max="33" width="25.44140625" style="33" customWidth="1"/>
    <col min="34" max="34" width="29" style="33" bestFit="1" customWidth="1"/>
    <col min="35" max="35" width="19.88671875" style="33" bestFit="1" customWidth="1"/>
    <col min="36" max="36" width="21.44140625" style="33" customWidth="1"/>
    <col min="37" max="37" width="21" style="33" bestFit="1" customWidth="1"/>
    <col min="38" max="38" width="20.44140625" style="33" customWidth="1"/>
    <col min="39" max="39" width="17.88671875" style="33" customWidth="1"/>
    <col min="40" max="40" width="15" style="33" customWidth="1"/>
    <col min="41" max="41" width="15.5546875" style="33" customWidth="1"/>
    <col min="42" max="42" width="10.109375" style="33" customWidth="1"/>
    <col min="43" max="43" width="14.44140625" style="33" customWidth="1"/>
    <col min="44" max="44" width="11.6640625" style="33" customWidth="1"/>
    <col min="45" max="45" width="13.88671875" style="33" customWidth="1"/>
    <col min="46" max="46" width="24.88671875" style="33" customWidth="1"/>
    <col min="47" max="47" width="10.6640625" style="33"/>
    <col min="48" max="48" width="10.6640625" style="44"/>
    <col min="49" max="49" width="85.109375" style="44" customWidth="1"/>
    <col min="50" max="16384" width="10.6640625" style="33"/>
  </cols>
  <sheetData>
    <row r="1" spans="1:49" ht="12.6" thickBot="1"/>
    <row r="2" spans="1:49" s="56" customFormat="1" ht="40.5" customHeight="1">
      <c r="A2" s="375" t="s">
        <v>604</v>
      </c>
      <c r="B2" s="375"/>
      <c r="C2" s="241" t="s">
        <v>715</v>
      </c>
      <c r="D2" s="241" t="s">
        <v>34</v>
      </c>
      <c r="E2" s="241" t="s">
        <v>317</v>
      </c>
      <c r="F2" s="241" t="s">
        <v>35</v>
      </c>
      <c r="G2" s="241" t="s">
        <v>306</v>
      </c>
      <c r="H2" s="241" t="s">
        <v>329</v>
      </c>
      <c r="I2" s="241" t="s">
        <v>291</v>
      </c>
      <c r="J2" s="241" t="s">
        <v>293</v>
      </c>
      <c r="K2" s="241" t="s">
        <v>45</v>
      </c>
      <c r="L2" s="241" t="s">
        <v>36</v>
      </c>
      <c r="M2" s="260" t="s">
        <v>37</v>
      </c>
      <c r="N2" s="241" t="s">
        <v>38</v>
      </c>
      <c r="O2" s="241" t="s">
        <v>39</v>
      </c>
      <c r="P2" s="241" t="s">
        <v>40</v>
      </c>
      <c r="Q2" s="241" t="s">
        <v>41</v>
      </c>
      <c r="R2" s="241" t="s">
        <v>42</v>
      </c>
      <c r="S2" s="241" t="s">
        <v>43</v>
      </c>
      <c r="T2" s="241" t="s">
        <v>44</v>
      </c>
      <c r="V2" s="264" t="s">
        <v>305</v>
      </c>
      <c r="W2" s="91" t="s">
        <v>725</v>
      </c>
      <c r="X2" s="91" t="s">
        <v>304</v>
      </c>
      <c r="Y2" s="91" t="s">
        <v>717</v>
      </c>
      <c r="Z2" s="91" t="s">
        <v>716</v>
      </c>
      <c r="AA2" s="91" t="s">
        <v>296</v>
      </c>
      <c r="AB2" s="91" t="s">
        <v>297</v>
      </c>
      <c r="AC2" s="91" t="s">
        <v>303</v>
      </c>
      <c r="AD2" s="91" t="s">
        <v>303</v>
      </c>
      <c r="AE2" s="91" t="s">
        <v>303</v>
      </c>
      <c r="AF2" s="91" t="s">
        <v>303</v>
      </c>
      <c r="AG2" s="244" t="s">
        <v>302</v>
      </c>
      <c r="AH2" s="244" t="s">
        <v>291</v>
      </c>
      <c r="AI2" s="243" t="s">
        <v>569</v>
      </c>
      <c r="AJ2" s="91" t="s">
        <v>721</v>
      </c>
      <c r="AK2" s="243" t="s">
        <v>307</v>
      </c>
      <c r="AL2" s="91" t="s">
        <v>320</v>
      </c>
      <c r="AM2" s="91" t="s">
        <v>301</v>
      </c>
      <c r="AN2" s="91" t="s">
        <v>309</v>
      </c>
      <c r="AO2" s="91" t="s">
        <v>300</v>
      </c>
      <c r="AP2" s="91" t="s">
        <v>326</v>
      </c>
      <c r="AQ2" s="91"/>
      <c r="AR2" s="91"/>
      <c r="AS2" s="253" t="s">
        <v>326</v>
      </c>
      <c r="AT2" s="373" t="s">
        <v>604</v>
      </c>
      <c r="AV2" s="87"/>
      <c r="AW2" s="87"/>
    </row>
    <row r="3" spans="1:49" ht="46.95" customHeight="1">
      <c r="A3" s="375"/>
      <c r="B3" s="375"/>
      <c r="C3" s="88" t="s">
        <v>522</v>
      </c>
      <c r="D3" s="88" t="s">
        <v>521</v>
      </c>
      <c r="E3" s="88" t="s">
        <v>330</v>
      </c>
      <c r="F3" s="88" t="s">
        <v>726</v>
      </c>
      <c r="G3" s="88" t="s">
        <v>727</v>
      </c>
      <c r="H3" s="88" t="s">
        <v>728</v>
      </c>
      <c r="I3" s="88" t="s">
        <v>729</v>
      </c>
      <c r="J3" s="88" t="s">
        <v>730</v>
      </c>
      <c r="K3" s="88" t="s">
        <v>731</v>
      </c>
      <c r="L3" s="88" t="s">
        <v>523</v>
      </c>
      <c r="M3" s="261" t="s">
        <v>723</v>
      </c>
      <c r="N3" s="88" t="s">
        <v>20</v>
      </c>
      <c r="O3" s="88" t="s">
        <v>24</v>
      </c>
      <c r="P3" s="88" t="s">
        <v>33</v>
      </c>
      <c r="Q3" s="88" t="s">
        <v>21</v>
      </c>
      <c r="R3" s="88" t="s">
        <v>732</v>
      </c>
      <c r="S3" s="88" t="s">
        <v>22</v>
      </c>
      <c r="T3" s="88" t="s">
        <v>23</v>
      </c>
      <c r="V3" s="261" t="s">
        <v>720</v>
      </c>
      <c r="W3" s="88" t="s">
        <v>724</v>
      </c>
      <c r="X3" s="88" t="s">
        <v>703</v>
      </c>
      <c r="Y3" s="88" t="s">
        <v>718</v>
      </c>
      <c r="Z3" s="88" t="s">
        <v>719</v>
      </c>
      <c r="AA3" s="88" t="s">
        <v>704</v>
      </c>
      <c r="AB3" s="88" t="s">
        <v>705</v>
      </c>
      <c r="AC3" s="376" t="s">
        <v>706</v>
      </c>
      <c r="AD3" s="377"/>
      <c r="AE3" s="377"/>
      <c r="AF3" s="378"/>
      <c r="AG3" s="88" t="s">
        <v>707</v>
      </c>
      <c r="AH3" s="88" t="s">
        <v>708</v>
      </c>
      <c r="AI3" s="143" t="s">
        <v>298</v>
      </c>
      <c r="AJ3" s="88" t="s">
        <v>722</v>
      </c>
      <c r="AK3" s="143" t="s">
        <v>299</v>
      </c>
      <c r="AL3" s="88" t="s">
        <v>741</v>
      </c>
      <c r="AM3" s="88" t="s">
        <v>742</v>
      </c>
      <c r="AN3" s="88" t="s">
        <v>743</v>
      </c>
      <c r="AO3" s="88" t="s">
        <v>744</v>
      </c>
      <c r="AP3" s="88"/>
      <c r="AQ3" s="88"/>
      <c r="AR3" s="88"/>
      <c r="AS3" s="252" t="s">
        <v>308</v>
      </c>
      <c r="AT3" s="374"/>
    </row>
    <row r="4" spans="1:49" ht="39.6" customHeight="1">
      <c r="A4" s="375"/>
      <c r="B4" s="375"/>
      <c r="C4" s="242"/>
      <c r="D4" s="88"/>
      <c r="E4" s="88"/>
      <c r="F4" s="88"/>
      <c r="G4" s="88"/>
      <c r="H4" s="88"/>
      <c r="I4" s="88"/>
      <c r="J4" s="88"/>
      <c r="K4" s="88"/>
      <c r="L4" s="88"/>
      <c r="M4" s="261"/>
      <c r="N4" s="88"/>
      <c r="O4" s="88"/>
      <c r="P4" s="88"/>
      <c r="Q4" s="88"/>
      <c r="R4" s="88"/>
      <c r="S4" s="88"/>
      <c r="T4" s="88"/>
      <c r="V4" s="261" t="s">
        <v>533</v>
      </c>
      <c r="W4" s="88" t="s">
        <v>310</v>
      </c>
      <c r="X4" s="88" t="s">
        <v>311</v>
      </c>
      <c r="Y4" s="88" t="s">
        <v>312</v>
      </c>
      <c r="Z4" s="88" t="s">
        <v>313</v>
      </c>
      <c r="AA4" s="88" t="s">
        <v>490</v>
      </c>
      <c r="AB4" s="88" t="s">
        <v>314</v>
      </c>
      <c r="AC4" s="88" t="s">
        <v>0</v>
      </c>
      <c r="AD4" s="88" t="s">
        <v>486</v>
      </c>
      <c r="AE4" s="88" t="s">
        <v>315</v>
      </c>
      <c r="AF4" s="88" t="s">
        <v>487</v>
      </c>
      <c r="AG4" s="88" t="s">
        <v>316</v>
      </c>
      <c r="AH4" s="88" t="s">
        <v>466</v>
      </c>
      <c r="AI4" s="143" t="s">
        <v>318</v>
      </c>
      <c r="AJ4" s="88" t="s">
        <v>488</v>
      </c>
      <c r="AK4" s="143" t="s">
        <v>319</v>
      </c>
      <c r="AL4" s="88" t="s">
        <v>321</v>
      </c>
      <c r="AM4" s="88" t="s">
        <v>323</v>
      </c>
      <c r="AN4" s="88" t="s">
        <v>322</v>
      </c>
      <c r="AO4" s="88" t="s">
        <v>489</v>
      </c>
      <c r="AP4" s="88" t="s">
        <v>327</v>
      </c>
      <c r="AQ4" s="88" t="s">
        <v>325</v>
      </c>
      <c r="AR4" s="88" t="s">
        <v>328</v>
      </c>
      <c r="AS4" s="252"/>
      <c r="AT4" s="257" t="s">
        <v>324</v>
      </c>
      <c r="AV4" s="33"/>
      <c r="AW4" s="33"/>
    </row>
    <row r="5" spans="1:49" s="57" customFormat="1">
      <c r="A5" s="245" t="s">
        <v>605</v>
      </c>
      <c r="B5" s="256" t="s">
        <v>693</v>
      </c>
      <c r="C5" s="89">
        <f>'Data Tables'!G17</f>
        <v>116</v>
      </c>
      <c r="D5" s="89">
        <f>'&lt;&lt;COMFA Questionaire&gt;&gt;'!D8</f>
        <v>35.700000000000003</v>
      </c>
      <c r="E5" s="89">
        <f>'&lt;&lt;COMFA Questionaire&gt;&gt;'!D10</f>
        <v>1.01</v>
      </c>
      <c r="F5" s="89">
        <f>'Human Clothing'!B49</f>
        <v>100</v>
      </c>
      <c r="G5" s="89">
        <f>'Human Clothing'!B49</f>
        <v>100</v>
      </c>
      <c r="H5" s="89">
        <f>'Human Clothing'!$C$49</f>
        <v>274.52406417112297</v>
      </c>
      <c r="I5" s="89">
        <f>'Human Clothing'!$F$49</f>
        <v>100</v>
      </c>
      <c r="J5" s="89">
        <f>'Human Clothing'!$G$49</f>
        <v>93.104419616221392</v>
      </c>
      <c r="K5" s="89">
        <v>37</v>
      </c>
      <c r="L5" s="89">
        <f>'&lt;&lt;COMFA Questionaire&gt;&gt;'!D14</f>
        <v>25</v>
      </c>
      <c r="M5" s="262">
        <f>'R(abs)'!AO5</f>
        <v>398.38934217449673</v>
      </c>
      <c r="N5" s="89">
        <f>'&lt;&lt;COMFA Questionaire&gt;&gt;'!D12</f>
        <v>44.8</v>
      </c>
      <c r="O5" s="89">
        <f>'&lt;&lt;COMFA Questionaire&gt;&gt;'!$D$16</f>
        <v>65</v>
      </c>
      <c r="P5" s="89">
        <v>10</v>
      </c>
      <c r="Q5" s="89">
        <v>10</v>
      </c>
      <c r="R5" s="89">
        <f>'&lt;&lt;COMFA Questionaire&gt;&gt;'!D18</f>
        <v>63</v>
      </c>
      <c r="S5" s="89">
        <v>0</v>
      </c>
      <c r="T5" s="89">
        <v>30</v>
      </c>
      <c r="V5" s="262">
        <f>(1-Z5)*C5</f>
        <v>107.32918280134896</v>
      </c>
      <c r="W5" s="90">
        <f>L5/100</f>
        <v>0.25</v>
      </c>
      <c r="X5" s="90">
        <f>1212/((0.13*AO5)+15)</f>
        <v>68.500221744298855</v>
      </c>
      <c r="Y5" s="90">
        <f>((0.6108*(EXP((17.269*D5)/(D5+237.3))))*W5)</f>
        <v>1.4607847325836976</v>
      </c>
      <c r="Z5" s="90">
        <f>(0.15-(0.0173*Y5)-(0.0014*D5))</f>
        <v>7.4748424126302032E-2</v>
      </c>
      <c r="AA5" s="90">
        <f>36.5+(0.0043*V5)</f>
        <v>36.961515486045798</v>
      </c>
      <c r="AB5" s="90">
        <f>(((AA5-D5)/(X5+AH5+AG5))*(AG5+AH5))+D5</f>
        <v>36.680577072693517</v>
      </c>
      <c r="AC5" s="90">
        <f>11333*E5</f>
        <v>11446.33</v>
      </c>
      <c r="AD5" s="90" t="b">
        <f>IF((AC5&gt;40000),(0.17/((0.71^0.33)*0.000022*0.0266*(AC5^0.805))))</f>
        <v>0</v>
      </c>
      <c r="AE5" s="89" t="b">
        <f>IF((AC5&lt;4000),(0.17/((0.71^0.33)*0.000022*0.683*(AC5^0.466))))</f>
        <v>0</v>
      </c>
      <c r="AF5" s="90">
        <f>IF(AND(AC5&gt;4000,AC5&lt;40000),(0.17/((0.71^0.33)*0.000022*0.193*(AC5^0.618))))</f>
        <v>139.09064664878795</v>
      </c>
      <c r="AG5" s="90">
        <f>SUM(AD5:AF5)</f>
        <v>139.09064664878795</v>
      </c>
      <c r="AH5" s="90">
        <f>I5</f>
        <v>100</v>
      </c>
      <c r="AI5" s="62">
        <f>1212*((AB5-D5)/(AG5+AH5))</f>
        <v>4.9707482444945885</v>
      </c>
      <c r="AJ5" s="90">
        <f>(((AB5 - D5)/(AH5 + AG5))*AG5)+D5</f>
        <v>36.270449329748416</v>
      </c>
      <c r="AK5" s="62">
        <f>0.75*((0.95*(0.0000000567)*((AJ5+273)^4)))</f>
        <v>369.59120575727331</v>
      </c>
      <c r="AL5" s="90">
        <f>0.6108*(EXP((17.269*AB5)/(AB5+237.3)))</f>
        <v>6.1656380893366842</v>
      </c>
      <c r="AM5" s="90">
        <f>(1.16*2442)*((AL5-Y5)/(7700+J5+(0.92*AG5)))</f>
        <v>1.6825423683772471</v>
      </c>
      <c r="AN5" s="90">
        <f>(1.16*2442)*((AL5-Y5)/(J5+(0.92*AG5)))</f>
        <v>60.287076293258579</v>
      </c>
      <c r="AO5" s="90">
        <f>0.42*(V5-58)</f>
        <v>20.718256776566562</v>
      </c>
      <c r="AP5" s="90">
        <f>AO5+AM5</f>
        <v>22.400799144943811</v>
      </c>
      <c r="AQ5" s="89">
        <f>IF((AN5&gt;AP5),(AP5))</f>
        <v>22.400799144943811</v>
      </c>
      <c r="AR5" s="90" t="b">
        <f>IF((AP5&gt;AN5),(AN5))</f>
        <v>0</v>
      </c>
      <c r="AS5" s="254">
        <f>SUM(AQ5:AR5)</f>
        <v>22.400799144943811</v>
      </c>
      <c r="AT5" s="258">
        <f>(M5+V5)-(AS5+AI5+AK5)</f>
        <v>108.75577182913401</v>
      </c>
      <c r="AV5" s="46"/>
      <c r="AW5" s="46"/>
    </row>
    <row r="6" spans="1:49">
      <c r="A6" s="245" t="s">
        <v>701</v>
      </c>
      <c r="B6" s="256" t="s">
        <v>693</v>
      </c>
      <c r="C6" s="263">
        <f>'Height and Weight'!S12</f>
        <v>117.60534635416666</v>
      </c>
      <c r="D6" s="90">
        <f t="shared" ref="D6:L6" si="0">D5</f>
        <v>35.700000000000003</v>
      </c>
      <c r="E6" s="90">
        <f t="shared" si="0"/>
        <v>1.01</v>
      </c>
      <c r="F6" s="90">
        <f t="shared" si="0"/>
        <v>100</v>
      </c>
      <c r="G6" s="90">
        <f t="shared" si="0"/>
        <v>100</v>
      </c>
      <c r="H6" s="90">
        <f t="shared" si="0"/>
        <v>274.52406417112297</v>
      </c>
      <c r="I6" s="90">
        <f t="shared" si="0"/>
        <v>100</v>
      </c>
      <c r="J6" s="90">
        <f t="shared" si="0"/>
        <v>93.104419616221392</v>
      </c>
      <c r="K6" s="90">
        <f t="shared" si="0"/>
        <v>37</v>
      </c>
      <c r="L6" s="90">
        <f t="shared" si="0"/>
        <v>25</v>
      </c>
      <c r="M6" s="262">
        <f>'R(abs)'!AO6</f>
        <v>398.20661517617276</v>
      </c>
      <c r="N6" s="90">
        <f>N5</f>
        <v>44.8</v>
      </c>
      <c r="O6" s="89">
        <f>'&lt;&lt;COMFA Questionaire&gt;&gt;'!$D$16</f>
        <v>65</v>
      </c>
      <c r="P6" s="90">
        <f>P5</f>
        <v>10</v>
      </c>
      <c r="Q6" s="89">
        <v>10</v>
      </c>
      <c r="R6" s="90">
        <f>R5</f>
        <v>63</v>
      </c>
      <c r="S6" s="90">
        <f>S5</f>
        <v>0</v>
      </c>
      <c r="T6" s="90">
        <f>T5</f>
        <v>30</v>
      </c>
      <c r="U6" s="30"/>
      <c r="V6" s="262">
        <f>(1-Z6)*C6</f>
        <v>108.81453204536476</v>
      </c>
      <c r="W6" s="90">
        <f>L6/100</f>
        <v>0.25</v>
      </c>
      <c r="X6" s="90">
        <f>1212/((0.13*AO6)+15)</f>
        <v>68.187673937650757</v>
      </c>
      <c r="Y6" s="90">
        <f>((0.6108*(EXP((17.269*D6)/(D6+237.3))))*W6)</f>
        <v>1.4607847325836976</v>
      </c>
      <c r="Z6" s="90">
        <f>(0.15-(0.0173*Y6)-(0.0014*D6))</f>
        <v>7.4748424126302032E-2</v>
      </c>
      <c r="AA6" s="90">
        <f>36.5+(0.0043*V6)</f>
        <v>36.967902487795065</v>
      </c>
      <c r="AB6" s="90">
        <f>(((AA6-D6)/(X6+AH6+AG6))*(AG6+AH6))+D6</f>
        <v>36.686544137301915</v>
      </c>
      <c r="AC6" s="90">
        <f>11333*E6</f>
        <v>11446.33</v>
      </c>
      <c r="AD6" s="90" t="b">
        <f>IF((AC6&gt;40000),(0.17/((0.71^0.33)*0.000022*0.0266*(AC6^0.805))))</f>
        <v>0</v>
      </c>
      <c r="AE6" s="89" t="b">
        <f>IF((AC6&lt;4000),(0.17/((0.71^0.33)*0.000022*0.683*(AC6^0.466))))</f>
        <v>0</v>
      </c>
      <c r="AF6" s="90">
        <f>IF(AND(AC6&gt;4000,AC6&lt;40000),(0.17/((0.71^0.33)*0.000022*0.193*(AC6^0.618))))</f>
        <v>139.09064664878795</v>
      </c>
      <c r="AG6" s="90">
        <f>SUM(AD6:AF6)</f>
        <v>139.09064664878795</v>
      </c>
      <c r="AH6" s="90">
        <f>I6</f>
        <v>100</v>
      </c>
      <c r="AI6" s="62">
        <f>1212*((AB6-D6)/(AG6+AH6))</f>
        <v>5.0009965306854021</v>
      </c>
      <c r="AJ6" s="90">
        <f>(((AB6 - D6)/(AH6 + AG6))*AG6)+D6</f>
        <v>36.27392066117276</v>
      </c>
      <c r="AK6" s="62">
        <f>0.75*((0.95*(0.0000000567)*((AJ6+273)^4)))</f>
        <v>369.60779958536511</v>
      </c>
      <c r="AL6" s="90">
        <f>0.6108*(EXP((17.269*AB6)/(AB6+237.3)))</f>
        <v>6.1676468371758508</v>
      </c>
      <c r="AM6" s="90">
        <f>(1.16*2442)*((AL6-Y6)/(7700+J6+(0.92*AG6)))</f>
        <v>1.6832607336674072</v>
      </c>
      <c r="AN6" s="90">
        <f>(1.16*2442)*((AL6-Y6)/(J6+(0.92*AG6)))</f>
        <v>60.312815997570503</v>
      </c>
      <c r="AO6" s="90">
        <f>0.42*(V6-58)</f>
        <v>21.342103459053199</v>
      </c>
      <c r="AP6" s="90">
        <f>AO6+AM6</f>
        <v>23.025364192720605</v>
      </c>
      <c r="AQ6" s="89">
        <f>IF((AN6&gt;AP6),(AP6))</f>
        <v>23.025364192720605</v>
      </c>
      <c r="AR6" s="90" t="b">
        <f>IF((AP6&gt;AN6),(AN6))</f>
        <v>0</v>
      </c>
      <c r="AS6" s="254">
        <f>SUM(AQ6:AR6)</f>
        <v>23.025364192720605</v>
      </c>
      <c r="AT6" s="258">
        <f>(M6+V6)-(AS6+AI6+AK6)</f>
        <v>109.38698691276636</v>
      </c>
    </row>
    <row r="7" spans="1:49" s="29" customFormat="1">
      <c r="A7" s="245" t="s">
        <v>606</v>
      </c>
      <c r="B7" s="256" t="s">
        <v>694</v>
      </c>
      <c r="C7" s="89">
        <f>C5</f>
        <v>116</v>
      </c>
      <c r="D7" s="89">
        <f>D5</f>
        <v>35.700000000000003</v>
      </c>
      <c r="E7" s="89">
        <f>'Data Tables'!E57</f>
        <v>1.01</v>
      </c>
      <c r="F7" s="89">
        <f>'Human Clothing'!B52</f>
        <v>250</v>
      </c>
      <c r="G7" s="89">
        <f>'Human Clothing'!B52</f>
        <v>250</v>
      </c>
      <c r="H7" s="89">
        <f>'Human Clothing'!C52</f>
        <v>686.31016042780755</v>
      </c>
      <c r="I7" s="89">
        <f>'Human Clothing'!F52</f>
        <v>250</v>
      </c>
      <c r="J7" s="89">
        <f>'Human Clothing'!G52</f>
        <v>232.7610490405535</v>
      </c>
      <c r="K7" s="89">
        <f>'Data Tables'!S8</f>
        <v>37</v>
      </c>
      <c r="L7" s="89">
        <f>L5</f>
        <v>25</v>
      </c>
      <c r="M7" s="262">
        <f>'R(abs)'!AO7</f>
        <v>400.75851663020563</v>
      </c>
      <c r="N7" s="89">
        <f>N5</f>
        <v>44.8</v>
      </c>
      <c r="O7" s="89">
        <f>O5</f>
        <v>65</v>
      </c>
      <c r="P7" s="89">
        <f>'Data Tables'!$U$15</f>
        <v>10</v>
      </c>
      <c r="Q7" s="89">
        <v>10</v>
      </c>
      <c r="R7" s="89">
        <f>'Data Tables'!$Q$11</f>
        <v>100</v>
      </c>
      <c r="S7" s="89">
        <f>'Data Tables'!$AJ$13</f>
        <v>0</v>
      </c>
      <c r="T7" s="89">
        <f>'Data Tables'!$AG$6</f>
        <v>30</v>
      </c>
      <c r="U7" s="57"/>
      <c r="V7" s="262">
        <f>(1-Z7)*C7</f>
        <v>107.32918280134896</v>
      </c>
      <c r="W7" s="90">
        <f>L7/100</f>
        <v>0.25</v>
      </c>
      <c r="X7" s="90">
        <f>1212/((0.13*AO7)+15)</f>
        <v>68.500221744298855</v>
      </c>
      <c r="Y7" s="90">
        <f>((0.6108*(EXP((17.269*D7)/(D7+237.3))))*W7)</f>
        <v>1.4607847325836976</v>
      </c>
      <c r="Z7" s="90">
        <f>(0.15-(0.0173*Y7)-(0.0014*D7))</f>
        <v>7.4748424126302032E-2</v>
      </c>
      <c r="AA7" s="90">
        <f>36.5+(0.0043*V7)</f>
        <v>36.961515486045798</v>
      </c>
      <c r="AB7" s="90">
        <f>(((AA7-D7)/(X7+AH7+AG7))*(AG7+AH7))+D7</f>
        <v>36.772669736497818</v>
      </c>
      <c r="AC7" s="90">
        <f>11333*E7</f>
        <v>11446.33</v>
      </c>
      <c r="AD7" s="90" t="b">
        <f>IF((AC7&gt;40000),(0.17/((0.71^0.33)*0.000022*0.0266*(AC7^0.805))))</f>
        <v>0</v>
      </c>
      <c r="AE7" s="89" t="b">
        <f>IF((AC7&lt;4000),(0.17/((0.71^0.33)*0.000022*0.683*(AC7^0.466))))</f>
        <v>0</v>
      </c>
      <c r="AF7" s="90">
        <f>IF(AND(AC7&gt;4000,AC7&lt;40000),(0.17/((0.71^0.33)*0.000022*0.193*(AC7^0.618))))</f>
        <v>139.09064664878795</v>
      </c>
      <c r="AG7" s="90">
        <f>SUM(AD7:AF7)</f>
        <v>139.09064664878795</v>
      </c>
      <c r="AH7" s="90">
        <f>I7</f>
        <v>250</v>
      </c>
      <c r="AI7" s="62">
        <f>1212*((AB7-D7)/(AG7+AH7))</f>
        <v>3.3413183581584862</v>
      </c>
      <c r="AJ7" s="90">
        <f>(((AB7 - D7)/(AH7 + AG7))*AG7)+D7</f>
        <v>36.083453903544331</v>
      </c>
      <c r="AK7" s="62">
        <f>0.75*((0.95*(0.0000000567)*((AJ7+273)^4)))</f>
        <v>368.69814650276601</v>
      </c>
      <c r="AL7" s="90">
        <f>0.6108*(EXP((17.269*AB7)/(AB7+237.3)))</f>
        <v>6.1967032983032198</v>
      </c>
      <c r="AM7" s="90">
        <f>(1.16*2442)*((AL7-Y7)/(7700+J7+(0.92*AG7)))</f>
        <v>1.6643083798183538</v>
      </c>
      <c r="AN7" s="90">
        <f>(1.16*2442)*((AL7-Y7)/(J7+(0.92*AG7)))</f>
        <v>37.190524413332774</v>
      </c>
      <c r="AO7" s="90">
        <f>0.42*(V7-58)</f>
        <v>20.718256776566562</v>
      </c>
      <c r="AP7" s="90">
        <f>AO7+AM7</f>
        <v>22.382565156384917</v>
      </c>
      <c r="AQ7" s="89">
        <f>IF((AN7&gt;AP7),(AP7))</f>
        <v>22.382565156384917</v>
      </c>
      <c r="AR7" s="90" t="b">
        <f>IF((AP7&gt;AN7),(AN7))</f>
        <v>0</v>
      </c>
      <c r="AS7" s="254">
        <f>SUM(AQ7:AR7)</f>
        <v>22.382565156384917</v>
      </c>
      <c r="AT7" s="258">
        <f>(M7+V7)-(AS7+AI7+AK7)</f>
        <v>113.6656694142452</v>
      </c>
      <c r="AV7" s="22"/>
      <c r="AW7" s="46"/>
    </row>
    <row r="8" spans="1:49" ht="12.6" thickBot="1">
      <c r="A8" s="245" t="s">
        <v>702</v>
      </c>
      <c r="B8" s="256" t="s">
        <v>694</v>
      </c>
      <c r="C8" s="90">
        <f>C6</f>
        <v>117.60534635416666</v>
      </c>
      <c r="D8" s="90">
        <f t="shared" ref="D8:J8" si="1">D7</f>
        <v>35.700000000000003</v>
      </c>
      <c r="E8" s="90">
        <f t="shared" si="1"/>
        <v>1.01</v>
      </c>
      <c r="F8" s="90">
        <f t="shared" si="1"/>
        <v>250</v>
      </c>
      <c r="G8" s="90">
        <f t="shared" si="1"/>
        <v>250</v>
      </c>
      <c r="H8" s="90">
        <f t="shared" si="1"/>
        <v>686.31016042780755</v>
      </c>
      <c r="I8" s="90">
        <f t="shared" si="1"/>
        <v>250</v>
      </c>
      <c r="J8" s="90">
        <f t="shared" si="1"/>
        <v>232.7610490405535</v>
      </c>
      <c r="K8" s="89">
        <f>K5</f>
        <v>37</v>
      </c>
      <c r="L8" s="89">
        <f>L5</f>
        <v>25</v>
      </c>
      <c r="M8" s="262">
        <f>'R(abs)'!AO8</f>
        <v>400.46847377572317</v>
      </c>
      <c r="N8" s="90">
        <f>N7</f>
        <v>44.8</v>
      </c>
      <c r="O8" s="89">
        <f>'&lt;&lt;COMFA Questionaire&gt;&gt;'!$D$16</f>
        <v>65</v>
      </c>
      <c r="P8" s="89">
        <f>'Data Tables'!$U$15</f>
        <v>10</v>
      </c>
      <c r="Q8" s="89">
        <v>10</v>
      </c>
      <c r="R8" s="89">
        <f>'Data Tables'!$Q$11</f>
        <v>100</v>
      </c>
      <c r="S8" s="89">
        <f>'Data Tables'!$AJ$13</f>
        <v>0</v>
      </c>
      <c r="T8" s="89">
        <f>'Data Tables'!$AG$6</f>
        <v>30</v>
      </c>
      <c r="U8" s="30"/>
      <c r="V8" s="262">
        <f>(1-Z8)*C8</f>
        <v>108.81453204536476</v>
      </c>
      <c r="W8" s="90">
        <f>W7</f>
        <v>0.25</v>
      </c>
      <c r="X8" s="90">
        <f>1212/((0.13*AO8)+15)</f>
        <v>68.187673937650757</v>
      </c>
      <c r="Y8" s="90">
        <f>Y7</f>
        <v>1.4607847325836976</v>
      </c>
      <c r="Z8" s="90">
        <f>(0.15-(0.0173*Y8)-(0.0014*D8))</f>
        <v>7.4748424126302032E-2</v>
      </c>
      <c r="AA8" s="90">
        <f>36.5+(0.0043*V8)</f>
        <v>36.967902487795065</v>
      </c>
      <c r="AB8" s="90">
        <f>(((AA8-D8)/(X8+AH8+AG8))*(AG8+AH8))+D8</f>
        <v>36.778837497109237</v>
      </c>
      <c r="AC8" s="90">
        <f>11333*E8</f>
        <v>11446.33</v>
      </c>
      <c r="AD8" s="90" t="b">
        <f>IF((AC8&gt;40000),(0.17/((0.71^0.33)*0.000022*0.0266*(AC8^0.805))))</f>
        <v>0</v>
      </c>
      <c r="AE8" s="89" t="b">
        <f>IF((AC8&lt;4000),(0.17/((0.71^0.33)*0.000022*0.683*(AC8^0.466))))</f>
        <v>0</v>
      </c>
      <c r="AF8" s="90">
        <f>IF(AND(AC8&gt;4000,AC8&lt;40000),(0.17/((0.71^0.33)*0.000022*0.193*(AC8^0.618))))</f>
        <v>139.09064664878795</v>
      </c>
      <c r="AG8" s="90">
        <f>SUM(AD8:AF8)</f>
        <v>139.09064664878795</v>
      </c>
      <c r="AH8" s="90">
        <f>I8</f>
        <v>250</v>
      </c>
      <c r="AI8" s="62">
        <f>1212*((AB8-D8)/(AG8+AH8))</f>
        <v>3.360530657208654</v>
      </c>
      <c r="AJ8" s="90">
        <f>(((AB8 - D8)/(AH8 + AG8))*AG8)+D8</f>
        <v>36.085658731183358</v>
      </c>
      <c r="AK8" s="62">
        <f>0.75*((0.95*(0.0000000567)*((AJ8+273)^4)))</f>
        <v>368.70866695673351</v>
      </c>
      <c r="AL8" s="90">
        <f>0.6108*(EXP((17.269*AB8)/(AB8+237.3)))</f>
        <v>6.1987886771878538</v>
      </c>
      <c r="AM8" s="90">
        <f>(1.16*2442)*((AL8-Y8)/(7700+J8+(0.92*AG8)))</f>
        <v>1.6650412288960204</v>
      </c>
      <c r="AN8" s="90">
        <f>(1.16*2442)*((AL8-Y8)/(J8+(0.92*AG8)))</f>
        <v>37.206900610103006</v>
      </c>
      <c r="AO8" s="90">
        <f>0.42*(V8-58)</f>
        <v>21.342103459053199</v>
      </c>
      <c r="AP8" s="90">
        <f>AO8+AM8</f>
        <v>23.007144687949218</v>
      </c>
      <c r="AQ8" s="89">
        <f>IF((AN8&gt;AP8),(AP8))</f>
        <v>23.007144687949218</v>
      </c>
      <c r="AR8" s="90" t="b">
        <f>IF((AP8&gt;AN8),(AN8))</f>
        <v>0</v>
      </c>
      <c r="AS8" s="254">
        <f>SUM(AQ8:AR8)</f>
        <v>23.007144687949218</v>
      </c>
      <c r="AT8" s="259">
        <f>(M8+V8)-(AS8+AI8+AK8)</f>
        <v>114.20666351919658</v>
      </c>
    </row>
    <row r="11" spans="1:49" s="57" customFormat="1">
      <c r="B11" s="44"/>
      <c r="C11" s="92"/>
      <c r="V11" s="55"/>
      <c r="W11" s="30"/>
      <c r="X11" s="30"/>
      <c r="Y11" s="30"/>
      <c r="Z11" s="76"/>
      <c r="AA11" s="30"/>
      <c r="AB11" s="30"/>
      <c r="AC11" s="30"/>
      <c r="AD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R11" s="30"/>
      <c r="AS11" s="30"/>
      <c r="AT11" s="93"/>
      <c r="AV11" s="46"/>
      <c r="AW11" s="46"/>
    </row>
    <row r="43" spans="2:2">
      <c r="B43" s="208">
        <v>0.10416666666666667</v>
      </c>
    </row>
    <row r="101" spans="2:2">
      <c r="B101" s="87" t="s">
        <v>62</v>
      </c>
    </row>
    <row r="102" spans="2:2">
      <c r="B102" s="87" t="s">
        <v>63</v>
      </c>
    </row>
    <row r="109" spans="2:2">
      <c r="B109" s="87"/>
    </row>
    <row r="110" spans="2:2">
      <c r="B110" s="87" t="s">
        <v>64</v>
      </c>
    </row>
    <row r="111" spans="2:2">
      <c r="B111" s="208">
        <v>0.47916666666666669</v>
      </c>
    </row>
    <row r="131" spans="2:2">
      <c r="B131" s="208">
        <v>0.5</v>
      </c>
    </row>
    <row r="183" spans="2:2">
      <c r="B183" s="208">
        <v>4.1666666666666664E-2</v>
      </c>
    </row>
    <row r="216" spans="2:2">
      <c r="B216" s="208">
        <v>6.25E-2</v>
      </c>
    </row>
    <row r="234" spans="2:2">
      <c r="B234" s="208">
        <v>8.3333333333333329E-2</v>
      </c>
    </row>
    <row r="271" spans="2:2">
      <c r="B271" s="208">
        <v>0.10416666666666667</v>
      </c>
    </row>
    <row r="281" spans="2:2">
      <c r="B281" s="87" t="s">
        <v>62</v>
      </c>
    </row>
    <row r="282" spans="2:2">
      <c r="B282" s="87" t="s">
        <v>63</v>
      </c>
    </row>
    <row r="289" spans="2:2">
      <c r="B289" s="87"/>
    </row>
    <row r="290" spans="2:2">
      <c r="B290" s="87" t="s">
        <v>64</v>
      </c>
    </row>
    <row r="291" spans="2:2">
      <c r="B291" s="208">
        <v>0.45833333333333331</v>
      </c>
    </row>
    <row r="294" spans="2:2">
      <c r="B294" s="44" t="s">
        <v>65</v>
      </c>
    </row>
    <row r="295" spans="2:2">
      <c r="B295" s="44" t="s">
        <v>65</v>
      </c>
    </row>
    <row r="298" spans="2:2">
      <c r="B298" s="208">
        <v>0.46875</v>
      </c>
    </row>
    <row r="306" spans="2:2">
      <c r="B306" s="208">
        <v>0.47916666666666669</v>
      </c>
    </row>
    <row r="314" spans="2:2">
      <c r="B314" s="208">
        <v>0.48958333333333331</v>
      </c>
    </row>
    <row r="315" spans="2:2">
      <c r="B315" s="208">
        <v>0.49652777777777773</v>
      </c>
    </row>
    <row r="316" spans="2:2">
      <c r="B316" s="208">
        <v>0.5</v>
      </c>
    </row>
    <row r="346" spans="2:2">
      <c r="B346" s="208">
        <v>0.52083333333333337</v>
      </c>
    </row>
    <row r="349" spans="2:2">
      <c r="B349" s="208">
        <v>0.53125</v>
      </c>
    </row>
    <row r="364" spans="2:2">
      <c r="B364" s="208">
        <v>4.1666666666666664E-2</v>
      </c>
    </row>
    <row r="375" spans="2:2">
      <c r="B375" s="208">
        <v>5.2083333333333336E-2</v>
      </c>
    </row>
    <row r="396" spans="2:2">
      <c r="B396" s="208">
        <v>6.25E-2</v>
      </c>
    </row>
    <row r="398" spans="2:2">
      <c r="B398" s="44" t="s">
        <v>65</v>
      </c>
    </row>
    <row r="399" spans="2:2">
      <c r="B399" s="44" t="s">
        <v>65</v>
      </c>
    </row>
    <row r="401" spans="2:2">
      <c r="B401" s="208">
        <v>7.2916666666666671E-2</v>
      </c>
    </row>
    <row r="402" spans="2:2">
      <c r="B402" s="208">
        <v>8.3333333333333329E-2</v>
      </c>
    </row>
    <row r="416" spans="2:2">
      <c r="B416" s="208">
        <v>9.375E-2</v>
      </c>
    </row>
    <row r="437" spans="2:2">
      <c r="B437" s="208">
        <v>0.10416666666666667</v>
      </c>
    </row>
    <row r="447" spans="2:2">
      <c r="B447" s="208">
        <v>0.11458333333333333</v>
      </c>
    </row>
    <row r="453" spans="2:2">
      <c r="B453" s="208">
        <v>0.125</v>
      </c>
    </row>
    <row r="454" spans="2:2">
      <c r="B454" s="87" t="s">
        <v>62</v>
      </c>
    </row>
    <row r="456" spans="2:2">
      <c r="B456" s="87" t="s">
        <v>63</v>
      </c>
    </row>
    <row r="463" spans="2:2">
      <c r="B463" s="87"/>
    </row>
    <row r="464" spans="2:2">
      <c r="B464" s="87" t="s">
        <v>64</v>
      </c>
    </row>
    <row r="465" spans="2:2">
      <c r="B465" s="209">
        <v>0.41666666666666669</v>
      </c>
    </row>
    <row r="466" spans="2:2">
      <c r="B466" s="209">
        <v>0.42708333333333331</v>
      </c>
    </row>
    <row r="467" spans="2:2">
      <c r="B467" s="22" t="s">
        <v>66</v>
      </c>
    </row>
    <row r="468" spans="2:2">
      <c r="B468" s="209">
        <v>0.43194444444444446</v>
      </c>
    </row>
    <row r="469" spans="2:2">
      <c r="B469" s="209">
        <v>0.43333333333333335</v>
      </c>
    </row>
    <row r="470" spans="2:2">
      <c r="B470" s="209">
        <v>0.43472222222222223</v>
      </c>
    </row>
    <row r="471" spans="2:2">
      <c r="B471" s="209">
        <v>0.4381944444444445</v>
      </c>
    </row>
    <row r="472" spans="2:2">
      <c r="B472" s="209">
        <v>0.43958333333333338</v>
      </c>
    </row>
    <row r="473" spans="2:2">
      <c r="B473" s="209">
        <v>0.44166666666666665</v>
      </c>
    </row>
    <row r="474" spans="2:2">
      <c r="B474" s="22"/>
    </row>
    <row r="475" spans="2:2">
      <c r="B475" s="209">
        <v>0.4458333333333333</v>
      </c>
    </row>
    <row r="476" spans="2:2">
      <c r="B476" s="209">
        <v>0.44861111111111113</v>
      </c>
    </row>
    <row r="477" spans="2:2">
      <c r="B477" s="209">
        <v>0.4548611111111111</v>
      </c>
    </row>
    <row r="478" spans="2:2">
      <c r="B478" s="22"/>
    </row>
    <row r="479" spans="2:2">
      <c r="B479" s="22"/>
    </row>
    <row r="480" spans="2:2">
      <c r="B480" s="209">
        <v>0.45694444444444443</v>
      </c>
    </row>
    <row r="481" spans="2:2">
      <c r="B481" s="209">
        <v>0.45694444444444443</v>
      </c>
    </row>
    <row r="482" spans="2:2">
      <c r="B482" s="209">
        <v>0.45902777777777781</v>
      </c>
    </row>
    <row r="483" spans="2:2">
      <c r="B483" s="209">
        <v>0.46180555555555558</v>
      </c>
    </row>
    <row r="484" spans="2:2">
      <c r="B484" s="209">
        <v>0.46250000000000002</v>
      </c>
    </row>
    <row r="485" spans="2:2">
      <c r="B485" s="22"/>
    </row>
    <row r="486" spans="2:2">
      <c r="B486" s="209">
        <v>0.46527777777777773</v>
      </c>
    </row>
    <row r="487" spans="2:2">
      <c r="B487" s="209">
        <v>0.47430555555555554</v>
      </c>
    </row>
    <row r="488" spans="2:2">
      <c r="B488" s="22"/>
    </row>
    <row r="489" spans="2:2">
      <c r="B489" s="22"/>
    </row>
    <row r="490" spans="2:2">
      <c r="B490" s="22"/>
    </row>
    <row r="491" spans="2:2">
      <c r="B491" s="209">
        <v>0.47847222222222219</v>
      </c>
    </row>
    <row r="492" spans="2:2">
      <c r="B492" s="22"/>
    </row>
    <row r="493" spans="2:2">
      <c r="B493" s="22"/>
    </row>
    <row r="494" spans="2:2">
      <c r="B494" s="209">
        <v>0.47986111111111113</v>
      </c>
    </row>
    <row r="495" spans="2:2">
      <c r="B495" s="209">
        <v>0.48125000000000001</v>
      </c>
    </row>
    <row r="496" spans="2:2">
      <c r="B496" s="22"/>
    </row>
    <row r="497" spans="2:2">
      <c r="B497" s="209">
        <v>0.48541666666666666</v>
      </c>
    </row>
    <row r="498" spans="2:2">
      <c r="B498" s="209">
        <v>0.4861111111111111</v>
      </c>
    </row>
    <row r="499" spans="2:2">
      <c r="B499" s="22"/>
    </row>
    <row r="500" spans="2:2">
      <c r="B500" s="209">
        <v>0.48749999999999999</v>
      </c>
    </row>
    <row r="501" spans="2:2">
      <c r="B501" s="22"/>
    </row>
    <row r="502" spans="2:2">
      <c r="B502" s="22"/>
    </row>
    <row r="503" spans="2:2">
      <c r="B503" s="22"/>
    </row>
    <row r="504" spans="2:2">
      <c r="B504" s="22"/>
    </row>
    <row r="505" spans="2:2">
      <c r="B505" s="22"/>
    </row>
    <row r="506" spans="2:2">
      <c r="B506" s="22"/>
    </row>
    <row r="507" spans="2:2">
      <c r="B507" s="22"/>
    </row>
    <row r="508" spans="2:2">
      <c r="B508" s="209">
        <v>0.49583333333333335</v>
      </c>
    </row>
    <row r="509" spans="2:2">
      <c r="B509" s="22"/>
    </row>
    <row r="510" spans="2:2">
      <c r="B510" s="22"/>
    </row>
    <row r="511" spans="2:2">
      <c r="B511" s="22"/>
    </row>
    <row r="512" spans="2:2">
      <c r="B512" s="209">
        <v>0.49652777777777773</v>
      </c>
    </row>
    <row r="513" spans="2:2">
      <c r="B513" s="22"/>
    </row>
    <row r="514" spans="2:2">
      <c r="B514" s="22"/>
    </row>
    <row r="515" spans="2:2">
      <c r="B515" s="22"/>
    </row>
    <row r="516" spans="2:2">
      <c r="B516" s="22"/>
    </row>
    <row r="517" spans="2:2">
      <c r="B517" s="22"/>
    </row>
    <row r="518" spans="2:2">
      <c r="B518" s="22"/>
    </row>
    <row r="519" spans="2:2">
      <c r="B519" s="22"/>
    </row>
    <row r="520" spans="2:2">
      <c r="B520" s="209">
        <v>0.5</v>
      </c>
    </row>
    <row r="521" spans="2:2">
      <c r="B521" s="22"/>
    </row>
    <row r="522" spans="2:2">
      <c r="B522" s="22"/>
    </row>
    <row r="523" spans="2:2">
      <c r="B523" s="22"/>
    </row>
    <row r="524" spans="2:2">
      <c r="B524" s="22"/>
    </row>
    <row r="525" spans="2:2">
      <c r="B525" s="22"/>
    </row>
    <row r="526" spans="2:2">
      <c r="B526" s="209">
        <v>0.50347222222222221</v>
      </c>
    </row>
    <row r="527" spans="2:2">
      <c r="B527" s="209">
        <v>0.50416666666666665</v>
      </c>
    </row>
    <row r="528" spans="2:2">
      <c r="B528" s="22"/>
    </row>
    <row r="529" spans="2:2">
      <c r="B529" s="209">
        <v>0.51458333333333328</v>
      </c>
    </row>
    <row r="530" spans="2:2">
      <c r="B530" s="209">
        <v>0.51666666666666672</v>
      </c>
    </row>
    <row r="531" spans="2:2">
      <c r="B531" s="22"/>
    </row>
    <row r="532" spans="2:2">
      <c r="B532" s="22"/>
    </row>
    <row r="533" spans="2:2">
      <c r="B533" s="22"/>
    </row>
    <row r="534" spans="2:2">
      <c r="B534" s="22"/>
    </row>
    <row r="535" spans="2:2">
      <c r="B535" s="22"/>
    </row>
    <row r="536" spans="2:2">
      <c r="B536" s="22"/>
    </row>
    <row r="537" spans="2:2">
      <c r="B537" s="22"/>
    </row>
    <row r="538" spans="2:2">
      <c r="B538" s="209">
        <v>0.51944444444444449</v>
      </c>
    </row>
    <row r="539" spans="2:2">
      <c r="B539" s="209">
        <v>0.51875000000000004</v>
      </c>
    </row>
    <row r="540" spans="2:2">
      <c r="B540" s="22"/>
    </row>
    <row r="541" spans="2:2">
      <c r="B541" s="209">
        <v>0.52430555555555558</v>
      </c>
    </row>
    <row r="542" spans="2:2">
      <c r="B542" s="209">
        <v>0.53263888888888888</v>
      </c>
    </row>
    <row r="543" spans="2:2">
      <c r="B543" s="22"/>
    </row>
    <row r="544" spans="2:2">
      <c r="B544" s="22"/>
    </row>
    <row r="545" spans="2:2">
      <c r="B545" s="22"/>
    </row>
    <row r="546" spans="2:2">
      <c r="B546" s="209">
        <v>0.53819444444444442</v>
      </c>
    </row>
    <row r="547" spans="2:2">
      <c r="B547" s="209">
        <v>0.53888888888888886</v>
      </c>
    </row>
    <row r="548" spans="2:2">
      <c r="B548" s="209">
        <v>0.5395833333333333</v>
      </c>
    </row>
    <row r="549" spans="2:2">
      <c r="B549" s="209">
        <v>0.54027777777777775</v>
      </c>
    </row>
    <row r="550" spans="2:2">
      <c r="B550" s="22"/>
    </row>
    <row r="551" spans="2:2">
      <c r="B551" s="209">
        <v>0.54097222222222219</v>
      </c>
    </row>
    <row r="552" spans="2:2">
      <c r="B552" s="22"/>
    </row>
    <row r="553" spans="2:2">
      <c r="B553" s="209">
        <v>4.4444444444444446E-2</v>
      </c>
    </row>
    <row r="554" spans="2:2">
      <c r="B554" s="22"/>
    </row>
    <row r="555" spans="2:2">
      <c r="B555" s="22"/>
    </row>
    <row r="556" spans="2:2">
      <c r="B556" s="22"/>
    </row>
    <row r="557" spans="2:2">
      <c r="B557" s="209">
        <v>5.0694444444444452E-2</v>
      </c>
    </row>
    <row r="558" spans="2:2">
      <c r="B558" s="22"/>
    </row>
    <row r="559" spans="2:2">
      <c r="B559" s="22"/>
    </row>
    <row r="560" spans="2:2">
      <c r="B560" s="22"/>
    </row>
    <row r="561" spans="2:2">
      <c r="B561" s="22"/>
    </row>
    <row r="562" spans="2:2">
      <c r="B562" s="22"/>
    </row>
    <row r="563" spans="2:2">
      <c r="B563" s="22"/>
    </row>
    <row r="564" spans="2:2">
      <c r="B564" s="22"/>
    </row>
    <row r="565" spans="2:2">
      <c r="B565" s="22"/>
    </row>
    <row r="566" spans="2:2">
      <c r="B566" s="209">
        <v>5.6250000000000001E-2</v>
      </c>
    </row>
    <row r="567" spans="2:2">
      <c r="B567" s="22"/>
    </row>
    <row r="568" spans="2:2">
      <c r="B568" s="22"/>
    </row>
    <row r="569" spans="2:2">
      <c r="B569" s="209">
        <v>6.0416666666666667E-2</v>
      </c>
    </row>
    <row r="570" spans="2:2">
      <c r="B570" s="22"/>
    </row>
    <row r="571" spans="2:2">
      <c r="B571" s="22"/>
    </row>
    <row r="572" spans="2:2">
      <c r="B572" s="22"/>
    </row>
    <row r="573" spans="2:2">
      <c r="B573" s="22"/>
    </row>
    <row r="574" spans="2:2">
      <c r="B574" s="22"/>
    </row>
    <row r="575" spans="2:2">
      <c r="B575" s="22"/>
    </row>
    <row r="576" spans="2:2">
      <c r="B576" s="22"/>
    </row>
    <row r="577" spans="2:2">
      <c r="B577" s="22"/>
    </row>
    <row r="578" spans="2:2">
      <c r="B578" s="22"/>
    </row>
    <row r="579" spans="2:2">
      <c r="B579" s="209">
        <v>6.5972222222222224E-2</v>
      </c>
    </row>
    <row r="580" spans="2:2">
      <c r="B580" s="22"/>
    </row>
    <row r="581" spans="2:2">
      <c r="B581" s="22"/>
    </row>
    <row r="582" spans="2:2">
      <c r="B582" s="22"/>
    </row>
    <row r="583" spans="2:2">
      <c r="B583" s="22"/>
    </row>
    <row r="584" spans="2:2">
      <c r="B584" s="22"/>
    </row>
    <row r="585" spans="2:2">
      <c r="B585" s="22"/>
    </row>
    <row r="586" spans="2:2">
      <c r="B586" s="22"/>
    </row>
    <row r="587" spans="2:2">
      <c r="B587" s="22"/>
    </row>
    <row r="588" spans="2:2">
      <c r="B588" s="22"/>
    </row>
    <row r="589" spans="2:2">
      <c r="B589" s="22"/>
    </row>
    <row r="590" spans="2:2">
      <c r="B590" s="22"/>
    </row>
    <row r="591" spans="2:2">
      <c r="B591" s="22"/>
    </row>
    <row r="592" spans="2:2">
      <c r="B592" s="209">
        <v>8.1250000000000003E-2</v>
      </c>
    </row>
    <row r="593" spans="2:2">
      <c r="B593" s="22"/>
    </row>
    <row r="594" spans="2:2">
      <c r="B594" s="22"/>
    </row>
    <row r="595" spans="2:2">
      <c r="B595" s="22"/>
    </row>
    <row r="596" spans="2:2">
      <c r="B596" s="209">
        <v>8.6111111111111124E-2</v>
      </c>
    </row>
    <row r="597" spans="2:2">
      <c r="B597" s="209">
        <v>8.8888888888888892E-2</v>
      </c>
    </row>
    <row r="598" spans="2:2">
      <c r="B598" s="22"/>
    </row>
    <row r="599" spans="2:2">
      <c r="B599" s="22"/>
    </row>
    <row r="600" spans="2:2">
      <c r="B600" s="209">
        <v>9.1666666666666674E-2</v>
      </c>
    </row>
    <row r="601" spans="2:2">
      <c r="B601" s="209">
        <v>9.5138888888888884E-2</v>
      </c>
    </row>
    <row r="602" spans="2:2">
      <c r="B602" s="22"/>
    </row>
    <row r="603" spans="2:2">
      <c r="B603" s="22"/>
    </row>
    <row r="604" spans="2:2">
      <c r="B604" s="22"/>
    </row>
    <row r="605" spans="2:2">
      <c r="B605" s="22"/>
    </row>
    <row r="606" spans="2:2">
      <c r="B606" s="22"/>
    </row>
    <row r="607" spans="2:2">
      <c r="B607" s="22"/>
    </row>
    <row r="608" spans="2:2">
      <c r="B608" s="22"/>
    </row>
    <row r="609" spans="2:2">
      <c r="B609" s="22"/>
    </row>
    <row r="610" spans="2:2">
      <c r="B610" s="22"/>
    </row>
    <row r="611" spans="2:2">
      <c r="B611" s="22"/>
    </row>
    <row r="612" spans="2:2">
      <c r="B612" s="22"/>
    </row>
    <row r="613" spans="2:2">
      <c r="B613" s="22"/>
    </row>
    <row r="614" spans="2:2">
      <c r="B614" s="209">
        <v>0.10069444444444443</v>
      </c>
    </row>
    <row r="615" spans="2:2">
      <c r="B615" s="209">
        <v>0.10208333333333335</v>
      </c>
    </row>
    <row r="616" spans="2:2">
      <c r="B616" s="22"/>
    </row>
    <row r="617" spans="2:2">
      <c r="B617" s="22"/>
    </row>
    <row r="618" spans="2:2">
      <c r="B618" s="22"/>
    </row>
    <row r="619" spans="2:2">
      <c r="B619" s="22"/>
    </row>
    <row r="620" spans="2:2">
      <c r="B620" s="22"/>
    </row>
    <row r="621" spans="2:2">
      <c r="B621" s="22"/>
    </row>
    <row r="622" spans="2:2">
      <c r="B622" s="22"/>
    </row>
    <row r="623" spans="2:2">
      <c r="B623" s="209">
        <v>0.10694444444444444</v>
      </c>
    </row>
    <row r="624" spans="2:2">
      <c r="B624" s="22"/>
    </row>
    <row r="625" spans="2:2">
      <c r="B625" s="22"/>
    </row>
    <row r="626" spans="2:2">
      <c r="B626" s="22"/>
    </row>
    <row r="627" spans="2:2">
      <c r="B627" s="22"/>
    </row>
    <row r="628" spans="2:2">
      <c r="B628" s="22"/>
    </row>
    <row r="629" spans="2:2">
      <c r="B629" s="22"/>
    </row>
    <row r="630" spans="2:2">
      <c r="B630" s="209">
        <v>0.11527777777777777</v>
      </c>
    </row>
    <row r="631" spans="2:2">
      <c r="B631" s="209">
        <v>0.10347222222222223</v>
      </c>
    </row>
    <row r="632" spans="2:2">
      <c r="B632" s="22"/>
    </row>
    <row r="633" spans="2:2">
      <c r="B633" s="209">
        <v>0.12083333333333333</v>
      </c>
    </row>
    <row r="634" spans="2:2">
      <c r="B634" s="22"/>
    </row>
    <row r="635" spans="2:2">
      <c r="B635" s="22"/>
    </row>
    <row r="636" spans="2:2">
      <c r="B636" s="22"/>
    </row>
    <row r="637" spans="2:2">
      <c r="B637" s="209">
        <v>0.12291666666666667</v>
      </c>
    </row>
    <row r="638" spans="2:2">
      <c r="B638" s="209">
        <v>0.12291666666666667</v>
      </c>
    </row>
    <row r="639" spans="2:2">
      <c r="B639" s="209">
        <v>0.125</v>
      </c>
    </row>
    <row r="640" spans="2:2">
      <c r="B640" s="209">
        <v>0.125</v>
      </c>
    </row>
    <row r="641" spans="2:2">
      <c r="B641" s="22"/>
    </row>
    <row r="642" spans="2:2">
      <c r="B642" s="209">
        <v>0.13194444444444445</v>
      </c>
    </row>
    <row r="643" spans="2:2">
      <c r="B643" s="87" t="s">
        <v>62</v>
      </c>
    </row>
    <row r="645" spans="2:2">
      <c r="B645" s="87" t="s">
        <v>63</v>
      </c>
    </row>
    <row r="652" spans="2:2">
      <c r="B652" s="87"/>
    </row>
    <row r="653" spans="2:2">
      <c r="B653" s="87" t="s">
        <v>64</v>
      </c>
    </row>
    <row r="654" spans="2:2">
      <c r="B654" s="209">
        <v>0.39583333333333331</v>
      </c>
    </row>
    <row r="655" spans="2:2">
      <c r="B655" s="22"/>
    </row>
    <row r="656" spans="2:2">
      <c r="B656" s="209">
        <v>0.41666666666666669</v>
      </c>
    </row>
    <row r="657" spans="2:2">
      <c r="B657" s="22"/>
    </row>
    <row r="658" spans="2:2">
      <c r="B658" s="22"/>
    </row>
    <row r="659" spans="2:2">
      <c r="B659" s="209">
        <v>0.4375</v>
      </c>
    </row>
    <row r="660" spans="2:2">
      <c r="B660" s="22"/>
    </row>
    <row r="661" spans="2:2">
      <c r="B661" s="22"/>
    </row>
    <row r="662" spans="2:2">
      <c r="B662" s="22"/>
    </row>
    <row r="663" spans="2:2">
      <c r="B663" s="209">
        <v>0.47916666666666669</v>
      </c>
    </row>
    <row r="664" spans="2:2">
      <c r="B664" s="22"/>
    </row>
    <row r="665" spans="2:2">
      <c r="B665" s="22"/>
    </row>
    <row r="666" spans="2:2">
      <c r="B666" s="22"/>
    </row>
    <row r="667" spans="2:2">
      <c r="B667" s="22"/>
    </row>
    <row r="668" spans="2:2">
      <c r="B668" s="22"/>
    </row>
    <row r="669" spans="2:2">
      <c r="B669" s="22"/>
    </row>
    <row r="670" spans="2:2">
      <c r="B670" s="22"/>
    </row>
    <row r="671" spans="2:2">
      <c r="B671" s="22"/>
    </row>
    <row r="672" spans="2:2">
      <c r="B672" s="209">
        <v>0.5</v>
      </c>
    </row>
    <row r="673" spans="2:2">
      <c r="B673" s="22"/>
    </row>
    <row r="674" spans="2:2">
      <c r="B674" s="22"/>
    </row>
    <row r="675" spans="2:2">
      <c r="B675" s="22"/>
    </row>
    <row r="676" spans="2:2">
      <c r="B676" s="22"/>
    </row>
    <row r="677" spans="2:2">
      <c r="B677" s="22"/>
    </row>
    <row r="678" spans="2:2">
      <c r="B678" s="22"/>
    </row>
    <row r="679" spans="2:2">
      <c r="B679" s="22"/>
    </row>
    <row r="680" spans="2:2">
      <c r="B680" s="22"/>
    </row>
    <row r="681" spans="2:2">
      <c r="B681" s="22"/>
    </row>
    <row r="682" spans="2:2">
      <c r="B682" s="209">
        <v>0.52083333333333337</v>
      </c>
    </row>
    <row r="683" spans="2:2">
      <c r="B683" s="209"/>
    </row>
    <row r="684" spans="2:2">
      <c r="B684" s="22"/>
    </row>
    <row r="685" spans="2:2">
      <c r="B685" s="22"/>
    </row>
    <row r="686" spans="2:2">
      <c r="B686" s="22"/>
    </row>
    <row r="687" spans="2:2">
      <c r="B687" s="22"/>
    </row>
    <row r="688" spans="2:2">
      <c r="B688" s="22"/>
    </row>
    <row r="689" spans="2:2">
      <c r="B689" s="22"/>
    </row>
    <row r="690" spans="2:2">
      <c r="B690" s="22"/>
    </row>
    <row r="691" spans="2:2">
      <c r="B691" s="22"/>
    </row>
    <row r="692" spans="2:2">
      <c r="B692" s="22"/>
    </row>
    <row r="693" spans="2:2">
      <c r="B693" s="22"/>
    </row>
    <row r="694" spans="2:2">
      <c r="B694" s="22"/>
    </row>
    <row r="695" spans="2:2">
      <c r="B695" s="22"/>
    </row>
    <row r="696" spans="2:2">
      <c r="B696" s="22"/>
    </row>
    <row r="697" spans="2:2">
      <c r="B697" s="22"/>
    </row>
    <row r="698" spans="2:2">
      <c r="B698" s="22"/>
    </row>
    <row r="699" spans="2:2">
      <c r="B699" s="22"/>
    </row>
    <row r="700" spans="2:2">
      <c r="B700" s="22"/>
    </row>
    <row r="701" spans="2:2">
      <c r="B701" s="22"/>
    </row>
    <row r="702" spans="2:2">
      <c r="B702" s="22"/>
    </row>
    <row r="703" spans="2:2">
      <c r="B703" s="22"/>
    </row>
    <row r="704" spans="2:2">
      <c r="B704" s="22"/>
    </row>
    <row r="705" spans="2:2">
      <c r="B705" s="209">
        <v>0.10416666666666667</v>
      </c>
    </row>
    <row r="706" spans="2:2">
      <c r="B706" s="22"/>
    </row>
    <row r="707" spans="2:2">
      <c r="B707" s="209"/>
    </row>
    <row r="708" spans="2:2">
      <c r="B708" s="209"/>
    </row>
    <row r="709" spans="2:2">
      <c r="B709" s="209"/>
    </row>
    <row r="710" spans="2:2">
      <c r="B710" s="87" t="s">
        <v>62</v>
      </c>
    </row>
    <row r="712" spans="2:2">
      <c r="B712" s="87" t="s">
        <v>63</v>
      </c>
    </row>
    <row r="718" spans="2:2">
      <c r="B718" s="87"/>
    </row>
    <row r="719" spans="2:2">
      <c r="B719" s="87" t="s">
        <v>64</v>
      </c>
    </row>
    <row r="721" spans="2:2">
      <c r="B721" s="209">
        <v>0.40625</v>
      </c>
    </row>
    <row r="722" spans="2:2">
      <c r="B722" s="209">
        <v>0.41319444444444442</v>
      </c>
    </row>
    <row r="723" spans="2:2">
      <c r="B723" s="209"/>
    </row>
    <row r="724" spans="2:2">
      <c r="B724" s="22"/>
    </row>
    <row r="725" spans="2:2">
      <c r="B725" s="209">
        <v>0.40625</v>
      </c>
    </row>
    <row r="726" spans="2:2">
      <c r="B726" s="209">
        <v>0.4069444444444445</v>
      </c>
    </row>
    <row r="727" spans="2:2">
      <c r="B727" s="209">
        <v>0.40763888888888888</v>
      </c>
    </row>
    <row r="728" spans="2:2">
      <c r="B728" s="209"/>
    </row>
    <row r="729" spans="2:2">
      <c r="B729" s="209">
        <v>0.40972222222222227</v>
      </c>
    </row>
    <row r="730" spans="2:2">
      <c r="B730" s="209">
        <v>0.41041666666666665</v>
      </c>
    </row>
    <row r="731" spans="2:2">
      <c r="B731" s="209">
        <v>0.41180555555555554</v>
      </c>
    </row>
    <row r="732" spans="2:2">
      <c r="B732" s="209">
        <v>0.4145833333333333</v>
      </c>
    </row>
    <row r="733" spans="2:2">
      <c r="B733" s="209">
        <v>0.4145833333333333</v>
      </c>
    </row>
    <row r="734" spans="2:2">
      <c r="B734" s="209">
        <v>0.41597222222222219</v>
      </c>
    </row>
    <row r="735" spans="2:2">
      <c r="B735" s="209">
        <v>0.41666666666666669</v>
      </c>
    </row>
    <row r="736" spans="2:2">
      <c r="B736" s="209">
        <v>0.42708333333333331</v>
      </c>
    </row>
    <row r="737" spans="2:2">
      <c r="B737" s="209">
        <v>0.42777777777777781</v>
      </c>
    </row>
    <row r="738" spans="2:2">
      <c r="B738" s="209"/>
    </row>
    <row r="739" spans="2:2">
      <c r="B739" s="209"/>
    </row>
    <row r="740" spans="2:2">
      <c r="B740" s="209">
        <v>0.4284722222222222</v>
      </c>
    </row>
    <row r="741" spans="2:2">
      <c r="B741" s="209">
        <v>0.43055555555555558</v>
      </c>
    </row>
    <row r="742" spans="2:2">
      <c r="B742" s="22"/>
    </row>
    <row r="743" spans="2:2">
      <c r="B743" s="209">
        <v>0.43402777777777773</v>
      </c>
    </row>
    <row r="744" spans="2:2">
      <c r="B744" s="209">
        <v>0.43541666666666662</v>
      </c>
    </row>
    <row r="745" spans="2:2">
      <c r="B745" s="209">
        <v>0.4368055555555555</v>
      </c>
    </row>
    <row r="746" spans="2:2">
      <c r="B746" s="209">
        <v>0.44097222222222227</v>
      </c>
    </row>
    <row r="747" spans="2:2">
      <c r="B747" s="209">
        <v>0.44444444444444442</v>
      </c>
    </row>
    <row r="748" spans="2:2">
      <c r="B748" s="209">
        <v>0.4513888888888889</v>
      </c>
    </row>
    <row r="749" spans="2:2">
      <c r="B749" s="209">
        <v>0.45277777777777778</v>
      </c>
    </row>
    <row r="750" spans="2:2">
      <c r="B750" s="209">
        <v>0.45555555555555555</v>
      </c>
    </row>
    <row r="751" spans="2:2">
      <c r="B751" s="209">
        <v>0.45555555555555555</v>
      </c>
    </row>
    <row r="752" spans="2:2">
      <c r="B752" s="209">
        <v>0.45624999999999999</v>
      </c>
    </row>
    <row r="753" spans="2:2">
      <c r="B753" s="22"/>
    </row>
    <row r="754" spans="2:2">
      <c r="B754" s="209"/>
    </row>
    <row r="755" spans="2:2">
      <c r="B755" s="209">
        <v>0.4604166666666667</v>
      </c>
    </row>
    <row r="756" spans="2:2">
      <c r="B756" s="209">
        <v>0.46388888888888885</v>
      </c>
    </row>
    <row r="757" spans="2:2">
      <c r="B757" s="209">
        <v>0.46666666666666662</v>
      </c>
    </row>
    <row r="758" spans="2:2">
      <c r="B758" s="209">
        <v>0.47499999999999998</v>
      </c>
    </row>
    <row r="759" spans="2:2">
      <c r="B759" s="22"/>
    </row>
    <row r="760" spans="2:2">
      <c r="B760" s="22"/>
    </row>
    <row r="761" spans="2:2">
      <c r="B761" s="209">
        <v>0.47638888888888892</v>
      </c>
    </row>
    <row r="762" spans="2:2">
      <c r="B762" s="209">
        <v>0.47638888888888892</v>
      </c>
    </row>
    <row r="763" spans="2:2">
      <c r="B763" s="22"/>
    </row>
    <row r="764" spans="2:2">
      <c r="B764" s="209">
        <v>0.4770833333333333</v>
      </c>
    </row>
    <row r="765" spans="2:2">
      <c r="B765" s="22"/>
    </row>
    <row r="766" spans="2:2">
      <c r="B766" s="209">
        <v>0.4777777777777778</v>
      </c>
    </row>
    <row r="767" spans="2:2">
      <c r="B767" s="209">
        <v>0.4777777777777778</v>
      </c>
    </row>
    <row r="768" spans="2:2">
      <c r="B768" s="209">
        <v>0.47916666666666669</v>
      </c>
    </row>
    <row r="769" spans="2:2">
      <c r="B769" s="22"/>
    </row>
    <row r="770" spans="2:2">
      <c r="B770" s="209">
        <v>0.48125000000000001</v>
      </c>
    </row>
    <row r="771" spans="2:2">
      <c r="B771" s="209">
        <v>0.48125000000000001</v>
      </c>
    </row>
    <row r="772" spans="2:2">
      <c r="B772" s="22"/>
    </row>
    <row r="773" spans="2:2">
      <c r="B773" s="209">
        <v>0.4861111111111111</v>
      </c>
    </row>
    <row r="774" spans="2:2">
      <c r="B774" s="209">
        <v>0.48888888888888887</v>
      </c>
    </row>
    <row r="775" spans="2:2">
      <c r="B775" s="209">
        <v>0.49375000000000002</v>
      </c>
    </row>
    <row r="776" spans="2:2">
      <c r="B776" s="209"/>
    </row>
    <row r="777" spans="2:2">
      <c r="B777" s="209">
        <v>0.49444444444444446</v>
      </c>
    </row>
    <row r="778" spans="2:2">
      <c r="B778" s="209">
        <v>0.49791666666666662</v>
      </c>
    </row>
    <row r="779" spans="2:2">
      <c r="B779" s="209">
        <v>0.49861111111111112</v>
      </c>
    </row>
    <row r="780" spans="2:2">
      <c r="B780" s="209">
        <v>0.5</v>
      </c>
    </row>
    <row r="781" spans="2:2">
      <c r="B781" s="22"/>
    </row>
    <row r="782" spans="2:2">
      <c r="B782" s="209">
        <v>0.50208333333333333</v>
      </c>
    </row>
    <row r="783" spans="2:2">
      <c r="B783" s="22"/>
    </row>
    <row r="784" spans="2:2">
      <c r="B784" s="22"/>
    </row>
    <row r="785" spans="2:2">
      <c r="B785" s="209">
        <v>0.50416666666666665</v>
      </c>
    </row>
    <row r="786" spans="2:2">
      <c r="B786" s="209">
        <v>0.5083333333333333</v>
      </c>
    </row>
    <row r="787" spans="2:2">
      <c r="B787" s="22"/>
    </row>
    <row r="788" spans="2:2">
      <c r="B788" s="209">
        <v>0.51041666666666663</v>
      </c>
    </row>
    <row r="789" spans="2:2">
      <c r="B789" s="209"/>
    </row>
    <row r="790" spans="2:2">
      <c r="B790" s="209">
        <v>0.5131944444444444</v>
      </c>
    </row>
    <row r="791" spans="2:2">
      <c r="B791" s="209"/>
    </row>
    <row r="792" spans="2:2">
      <c r="B792" s="209"/>
    </row>
    <row r="793" spans="2:2">
      <c r="B793" s="209">
        <v>0.51597222222222217</v>
      </c>
    </row>
    <row r="794" spans="2:2">
      <c r="B794" s="209">
        <v>0.51666666666666672</v>
      </c>
    </row>
    <row r="795" spans="2:2">
      <c r="B795" s="209">
        <v>0.51666666666666672</v>
      </c>
    </row>
    <row r="796" spans="2:2">
      <c r="B796" s="209">
        <v>0.5180555555555556</v>
      </c>
    </row>
    <row r="797" spans="2:2">
      <c r="B797" s="209">
        <v>0.5180555555555556</v>
      </c>
    </row>
    <row r="798" spans="2:2">
      <c r="B798" s="22"/>
    </row>
    <row r="799" spans="2:2">
      <c r="B799" s="22"/>
    </row>
    <row r="800" spans="2:2">
      <c r="B800" s="209">
        <v>0.52083333333333337</v>
      </c>
    </row>
    <row r="801" spans="2:2">
      <c r="B801" s="209">
        <v>0.52222222222222225</v>
      </c>
    </row>
    <row r="802" spans="2:2">
      <c r="B802" s="209">
        <v>0.53125</v>
      </c>
    </row>
    <row r="803" spans="2:2">
      <c r="B803" s="209">
        <v>5.2083333333333336E-2</v>
      </c>
    </row>
    <row r="804" spans="2:2">
      <c r="B804" s="22"/>
    </row>
    <row r="805" spans="2:2">
      <c r="B805" s="22"/>
    </row>
    <row r="806" spans="2:2">
      <c r="B806" s="22"/>
    </row>
    <row r="807" spans="2:2">
      <c r="B807" s="209">
        <v>5.5555555555555552E-2</v>
      </c>
    </row>
    <row r="808" spans="2:2">
      <c r="B808" s="22"/>
    </row>
    <row r="809" spans="2:2">
      <c r="B809" s="209"/>
    </row>
    <row r="810" spans="2:2">
      <c r="B810" s="209">
        <v>5.9027777777777783E-2</v>
      </c>
    </row>
    <row r="811" spans="2:2">
      <c r="B811" s="22"/>
    </row>
    <row r="812" spans="2:2">
      <c r="B812" s="209">
        <v>6.25E-2</v>
      </c>
    </row>
    <row r="813" spans="2:2">
      <c r="B813" s="22"/>
    </row>
    <row r="814" spans="2:2">
      <c r="B814" s="209">
        <v>6.3194444444444442E-2</v>
      </c>
    </row>
    <row r="815" spans="2:2">
      <c r="B815" s="209">
        <v>7.2916666666666671E-2</v>
      </c>
    </row>
    <row r="816" spans="2:2">
      <c r="B816" s="22"/>
    </row>
    <row r="817" spans="2:2">
      <c r="B817" s="209">
        <v>7.6388888888888895E-2</v>
      </c>
    </row>
    <row r="818" spans="2:2">
      <c r="B818" s="22"/>
    </row>
    <row r="819" spans="2:2">
      <c r="B819" s="22"/>
    </row>
    <row r="820" spans="2:2">
      <c r="B820" s="22"/>
    </row>
    <row r="821" spans="2:2">
      <c r="B821" s="22"/>
    </row>
    <row r="822" spans="2:2">
      <c r="B822" s="209"/>
    </row>
    <row r="823" spans="2:2">
      <c r="B823" s="22"/>
    </row>
    <row r="824" spans="2:2">
      <c r="B824" s="209">
        <v>7.9861111111111105E-2</v>
      </c>
    </row>
    <row r="825" spans="2:2">
      <c r="B825" s="22"/>
    </row>
    <row r="826" spans="2:2">
      <c r="B826" s="22"/>
    </row>
    <row r="827" spans="2:2">
      <c r="B827" s="22"/>
    </row>
    <row r="828" spans="2:2">
      <c r="B828" s="209"/>
    </row>
    <row r="829" spans="2:2">
      <c r="B829" s="22"/>
    </row>
    <row r="830" spans="2:2">
      <c r="B830" s="22"/>
    </row>
    <row r="831" spans="2:2">
      <c r="B831" s="22"/>
    </row>
    <row r="832" spans="2:2">
      <c r="B832" s="209">
        <v>8.1944444444444445E-2</v>
      </c>
    </row>
    <row r="833" spans="2:2">
      <c r="B833" s="209">
        <v>8.3333333333333329E-2</v>
      </c>
    </row>
    <row r="834" spans="2:2">
      <c r="B834" s="22"/>
    </row>
    <row r="835" spans="2:2">
      <c r="B835" s="209">
        <v>9.0277777777777776E-2</v>
      </c>
    </row>
    <row r="836" spans="2:2">
      <c r="B836" s="209"/>
    </row>
    <row r="837" spans="2:2">
      <c r="B837" s="209"/>
    </row>
    <row r="838" spans="2:2">
      <c r="B838" s="22"/>
    </row>
    <row r="839" spans="2:2">
      <c r="B839" s="22"/>
    </row>
    <row r="840" spans="2:2">
      <c r="B840" s="22"/>
    </row>
    <row r="841" spans="2:2">
      <c r="B841" s="209">
        <v>9.375E-2</v>
      </c>
    </row>
    <row r="842" spans="2:2">
      <c r="B842" s="22"/>
    </row>
    <row r="843" spans="2:2">
      <c r="B843" s="22"/>
    </row>
    <row r="844" spans="2:2">
      <c r="B844" s="22"/>
    </row>
    <row r="845" spans="2:2">
      <c r="B845" s="22"/>
    </row>
    <row r="846" spans="2:2">
      <c r="B846" s="22"/>
    </row>
    <row r="847" spans="2:2">
      <c r="B847" s="22"/>
    </row>
    <row r="848" spans="2:2">
      <c r="B848" s="22"/>
    </row>
    <row r="849" spans="2:2">
      <c r="B849" s="22"/>
    </row>
    <row r="850" spans="2:2">
      <c r="B850" s="209">
        <v>5.5555555555555552E-2</v>
      </c>
    </row>
    <row r="851" spans="2:2">
      <c r="B851" s="22"/>
    </row>
    <row r="852" spans="2:2">
      <c r="B852" s="209"/>
    </row>
    <row r="853" spans="2:2">
      <c r="B853" s="22"/>
    </row>
    <row r="854" spans="2:2">
      <c r="B854" s="22"/>
    </row>
    <row r="855" spans="2:2">
      <c r="B855" s="22"/>
    </row>
    <row r="856" spans="2:2">
      <c r="B856" s="22"/>
    </row>
    <row r="857" spans="2:2">
      <c r="B857" s="22"/>
    </row>
    <row r="858" spans="2:2">
      <c r="B858" s="22"/>
    </row>
    <row r="859" spans="2:2">
      <c r="B859" s="209">
        <v>0.10069444444444443</v>
      </c>
    </row>
    <row r="860" spans="2:2">
      <c r="B860" s="209"/>
    </row>
    <row r="861" spans="2:2">
      <c r="B861" s="209"/>
    </row>
    <row r="862" spans="2:2">
      <c r="B862" s="22"/>
    </row>
    <row r="863" spans="2:2">
      <c r="B863" s="22"/>
    </row>
    <row r="864" spans="2:2">
      <c r="B864" s="209">
        <v>0.10347222222222223</v>
      </c>
    </row>
    <row r="865" spans="2:2">
      <c r="B865" s="209"/>
    </row>
    <row r="866" spans="2:2">
      <c r="B866" s="209"/>
    </row>
    <row r="867" spans="2:2">
      <c r="B867" s="209"/>
    </row>
    <row r="868" spans="2:2">
      <c r="B868" s="87" t="s">
        <v>62</v>
      </c>
    </row>
    <row r="870" spans="2:2">
      <c r="B870" s="87" t="s">
        <v>63</v>
      </c>
    </row>
    <row r="876" spans="2:2">
      <c r="B876" s="87"/>
    </row>
    <row r="877" spans="2:2">
      <c r="B877" s="87" t="s">
        <v>64</v>
      </c>
    </row>
    <row r="878" spans="2:2">
      <c r="B878" s="209">
        <v>0.38750000000000001</v>
      </c>
    </row>
    <row r="879" spans="2:2">
      <c r="B879" s="209">
        <v>0.41041666666666665</v>
      </c>
    </row>
    <row r="880" spans="2:2">
      <c r="B880" s="209">
        <v>0.41041666666666665</v>
      </c>
    </row>
    <row r="881" spans="2:2">
      <c r="B881" s="209">
        <v>0.4284722222222222</v>
      </c>
    </row>
    <row r="882" spans="2:2">
      <c r="B882" s="209">
        <v>0.43402777777777773</v>
      </c>
    </row>
    <row r="883" spans="2:2">
      <c r="B883" s="209">
        <v>0.5</v>
      </c>
    </row>
    <row r="884" spans="2:2">
      <c r="B884" s="209">
        <v>0.51041666666666663</v>
      </c>
    </row>
    <row r="885" spans="2:2">
      <c r="B885" s="209">
        <v>0.51041666666666663</v>
      </c>
    </row>
    <row r="886" spans="2:2">
      <c r="B886" s="209">
        <v>0.51041666666666663</v>
      </c>
    </row>
    <row r="887" spans="2:2">
      <c r="B887" s="209">
        <v>0.52708333333333335</v>
      </c>
    </row>
    <row r="888" spans="2:2">
      <c r="B888" s="209">
        <v>0.53125</v>
      </c>
    </row>
    <row r="889" spans="2:2">
      <c r="B889" s="209">
        <v>0.53125</v>
      </c>
    </row>
    <row r="890" spans="2:2">
      <c r="B890" s="209">
        <v>4.1666666666666664E-2</v>
      </c>
    </row>
    <row r="891" spans="2:2">
      <c r="B891" s="209">
        <v>4.1666666666666664E-2</v>
      </c>
    </row>
    <row r="892" spans="2:2">
      <c r="B892" s="209">
        <v>4.3749999999999997E-2</v>
      </c>
    </row>
    <row r="893" spans="2:2">
      <c r="B893" s="209">
        <v>6.5972222222222224E-2</v>
      </c>
    </row>
    <row r="894" spans="2:2">
      <c r="B894" s="209">
        <v>7.4999999999999997E-2</v>
      </c>
    </row>
    <row r="895" spans="2:2">
      <c r="B895" s="209">
        <v>7.4999999999999997E-2</v>
      </c>
    </row>
    <row r="896" spans="2:2">
      <c r="B896" s="209">
        <v>7.7083333333333337E-2</v>
      </c>
    </row>
    <row r="897" spans="2:2">
      <c r="B897" s="87" t="s">
        <v>62</v>
      </c>
    </row>
    <row r="899" spans="2:2">
      <c r="B899" s="87" t="s">
        <v>63</v>
      </c>
    </row>
    <row r="905" spans="2:2">
      <c r="B905" s="87"/>
    </row>
    <row r="906" spans="2:2">
      <c r="B906" s="87" t="s">
        <v>64</v>
      </c>
    </row>
    <row r="907" spans="2:2">
      <c r="B907" s="209">
        <v>0.50347222222222221</v>
      </c>
    </row>
    <row r="908" spans="2:2">
      <c r="B908" s="209">
        <v>0.51388888888888895</v>
      </c>
    </row>
    <row r="909" spans="2:2">
      <c r="B909" s="209">
        <v>0.51458333333333328</v>
      </c>
    </row>
    <row r="910" spans="2:2">
      <c r="B910" s="209">
        <v>0.51597222222222217</v>
      </c>
    </row>
    <row r="911" spans="2:2">
      <c r="B911" s="209">
        <v>0.51666666666666672</v>
      </c>
    </row>
    <row r="912" spans="2:2">
      <c r="B912" s="209">
        <v>0.51736111111111105</v>
      </c>
    </row>
    <row r="913" spans="2:2">
      <c r="B913" s="209">
        <v>0.5180555555555556</v>
      </c>
    </row>
    <row r="914" spans="2:2">
      <c r="B914" s="209">
        <v>0.51875000000000004</v>
      </c>
    </row>
    <row r="915" spans="2:2">
      <c r="B915" s="209">
        <v>0.51875000000000004</v>
      </c>
    </row>
    <row r="916" spans="2:2">
      <c r="B916" s="209">
        <v>0.51944444444444449</v>
      </c>
    </row>
    <row r="917" spans="2:2">
      <c r="B917" s="22"/>
    </row>
    <row r="918" spans="2:2">
      <c r="B918" s="22"/>
    </row>
    <row r="919" spans="2:2">
      <c r="B919" s="22"/>
    </row>
    <row r="920" spans="2:2">
      <c r="B920" s="22"/>
    </row>
    <row r="921" spans="2:2">
      <c r="B921" s="22"/>
    </row>
    <row r="922" spans="2:2">
      <c r="B922" s="22"/>
    </row>
    <row r="923" spans="2:2">
      <c r="B923" s="22"/>
    </row>
    <row r="924" spans="2:2">
      <c r="B924" s="209">
        <v>0.53611111111111109</v>
      </c>
    </row>
    <row r="925" spans="2:2">
      <c r="B925" s="22"/>
    </row>
    <row r="926" spans="2:2">
      <c r="B926" s="209">
        <v>0.53680555555555554</v>
      </c>
    </row>
    <row r="927" spans="2:2">
      <c r="B927" s="209">
        <v>0.53819444444444442</v>
      </c>
    </row>
    <row r="928" spans="2:2">
      <c r="B928" s="209">
        <v>0.05</v>
      </c>
    </row>
    <row r="929" spans="2:2">
      <c r="B929" s="22"/>
    </row>
    <row r="930" spans="2:2">
      <c r="B930" s="22"/>
    </row>
    <row r="931" spans="2:2">
      <c r="B931" s="22"/>
    </row>
    <row r="932" spans="2:2">
      <c r="B932" s="22"/>
    </row>
    <row r="933" spans="2:2">
      <c r="B933" s="22"/>
    </row>
    <row r="934" spans="2:2">
      <c r="B934" s="22"/>
    </row>
    <row r="935" spans="2:2">
      <c r="B935" s="22"/>
    </row>
    <row r="936" spans="2:2">
      <c r="B936" s="22"/>
    </row>
    <row r="937" spans="2:2">
      <c r="B937" s="22"/>
    </row>
    <row r="938" spans="2:2">
      <c r="B938" s="22"/>
    </row>
    <row r="939" spans="2:2">
      <c r="B939" s="209">
        <v>5.9722222222222225E-2</v>
      </c>
    </row>
    <row r="940" spans="2:2">
      <c r="B940" s="22"/>
    </row>
    <row r="941" spans="2:2">
      <c r="B941" s="22"/>
    </row>
    <row r="942" spans="2:2">
      <c r="B942" s="22"/>
    </row>
    <row r="943" spans="2:2">
      <c r="B943" s="209">
        <v>7.2916666666666671E-2</v>
      </c>
    </row>
    <row r="944" spans="2:2">
      <c r="B944" s="22"/>
    </row>
    <row r="945" spans="2:2">
      <c r="B945" s="22"/>
    </row>
    <row r="946" spans="2:2">
      <c r="B946" s="209">
        <v>7.4999999999999997E-2</v>
      </c>
    </row>
    <row r="947" spans="2:2">
      <c r="B947" s="22"/>
    </row>
    <row r="949" spans="2:2">
      <c r="B949" s="208">
        <v>7.8472222222222221E-2</v>
      </c>
    </row>
    <row r="951" spans="2:2">
      <c r="B951" s="208">
        <v>7.9861111111111105E-2</v>
      </c>
    </row>
    <row r="952" spans="2:2">
      <c r="B952" s="208">
        <v>8.1250000000000003E-2</v>
      </c>
    </row>
    <row r="959" spans="2:2">
      <c r="B959" s="208">
        <v>8.8888888888888892E-2</v>
      </c>
    </row>
    <row r="964" spans="2:2">
      <c r="B964" s="208">
        <v>9.4444444444444442E-2</v>
      </c>
    </row>
    <row r="965" spans="2:2">
      <c r="B965" s="208">
        <v>9.6527777777777768E-2</v>
      </c>
    </row>
    <row r="967" spans="2:2">
      <c r="B967" s="208">
        <v>9.8611111111111108E-2</v>
      </c>
    </row>
    <row r="975" spans="2:2">
      <c r="B975" s="208">
        <v>0.10208333333333335</v>
      </c>
    </row>
    <row r="980" spans="2:2">
      <c r="B980" s="208">
        <v>0.10416666666666667</v>
      </c>
    </row>
    <row r="981" spans="2:2">
      <c r="B981" s="87" t="s">
        <v>62</v>
      </c>
    </row>
    <row r="983" spans="2:2">
      <c r="B983" s="87" t="s">
        <v>63</v>
      </c>
    </row>
    <row r="989" spans="2:2">
      <c r="B989" s="87"/>
    </row>
    <row r="990" spans="2:2">
      <c r="B990" s="87" t="s">
        <v>64</v>
      </c>
    </row>
    <row r="991" spans="2:2">
      <c r="B991" s="209">
        <v>0.375</v>
      </c>
    </row>
    <row r="992" spans="2:2">
      <c r="B992" s="209"/>
    </row>
    <row r="993" spans="2:2">
      <c r="B993" s="209"/>
    </row>
    <row r="994" spans="2:2">
      <c r="B994" s="209"/>
    </row>
    <row r="995" spans="2:2">
      <c r="B995" s="209"/>
    </row>
    <row r="996" spans="2:2">
      <c r="B996" s="209">
        <v>0.41666666666666669</v>
      </c>
    </row>
    <row r="997" spans="2:2">
      <c r="B997" s="209"/>
    </row>
    <row r="998" spans="2:2">
      <c r="B998" s="209">
        <v>0.4375</v>
      </c>
    </row>
    <row r="999" spans="2:2">
      <c r="B999" s="209">
        <v>0.45833333333333331</v>
      </c>
    </row>
    <row r="1000" spans="2:2">
      <c r="B1000" s="209">
        <v>0.47916666666666669</v>
      </c>
    </row>
    <row r="1001" spans="2:2">
      <c r="B1001" s="22"/>
    </row>
    <row r="1002" spans="2:2">
      <c r="B1002" s="209">
        <v>0.48958333333333331</v>
      </c>
    </row>
    <row r="1003" spans="2:2">
      <c r="B1003" s="22"/>
    </row>
    <row r="1004" spans="2:2">
      <c r="B1004" s="22"/>
    </row>
    <row r="1005" spans="2:2">
      <c r="B1005" s="22"/>
    </row>
    <row r="1006" spans="2:2">
      <c r="B1006" s="22"/>
    </row>
    <row r="1007" spans="2:2">
      <c r="B1007" s="22"/>
    </row>
    <row r="1008" spans="2:2">
      <c r="B1008" s="209"/>
    </row>
    <row r="1009" spans="2:2">
      <c r="B1009" s="22"/>
    </row>
    <row r="1010" spans="2:2">
      <c r="B1010" s="209">
        <v>0.5</v>
      </c>
    </row>
    <row r="1011" spans="2:2">
      <c r="B1011" s="209"/>
    </row>
    <row r="1012" spans="2:2">
      <c r="B1012" s="209"/>
    </row>
    <row r="1013" spans="2:2">
      <c r="B1013" s="22"/>
    </row>
    <row r="1014" spans="2:2">
      <c r="B1014" s="22"/>
    </row>
    <row r="1015" spans="2:2">
      <c r="B1015" s="209">
        <v>0.51041666666666663</v>
      </c>
    </row>
    <row r="1016" spans="2:2">
      <c r="B1016" s="22"/>
    </row>
    <row r="1017" spans="2:2">
      <c r="B1017" s="22"/>
    </row>
    <row r="1018" spans="2:2">
      <c r="B1018" s="209">
        <v>0.52083333333333337</v>
      </c>
    </row>
    <row r="1019" spans="2:2">
      <c r="B1019" s="22"/>
    </row>
    <row r="1020" spans="2:2">
      <c r="B1020" s="22"/>
    </row>
    <row r="1021" spans="2:2">
      <c r="B1021" s="22"/>
    </row>
    <row r="1022" spans="2:2">
      <c r="B1022" s="22"/>
    </row>
    <row r="1023" spans="2:2">
      <c r="B1023" s="209"/>
    </row>
    <row r="1024" spans="2:2">
      <c r="B1024" s="22"/>
    </row>
    <row r="1025" spans="2:2">
      <c r="B1025" s="22"/>
    </row>
    <row r="1026" spans="2:2">
      <c r="B1026" s="22"/>
    </row>
    <row r="1027" spans="2:2">
      <c r="B1027" s="209"/>
    </row>
    <row r="1028" spans="2:2">
      <c r="B1028" s="22"/>
    </row>
    <row r="1029" spans="2:2">
      <c r="B1029" s="209">
        <v>0.53125</v>
      </c>
    </row>
    <row r="1030" spans="2:2">
      <c r="B1030" s="209"/>
    </row>
    <row r="1031" spans="2:2">
      <c r="B1031" s="22"/>
    </row>
    <row r="1032" spans="2:2">
      <c r="B1032" s="87"/>
    </row>
    <row r="1038" spans="2:2">
      <c r="B1038" s="87"/>
    </row>
    <row r="1039" spans="2:2">
      <c r="B1039" s="87"/>
    </row>
    <row r="1040" spans="2:2">
      <c r="B1040" s="208">
        <v>4.1666666666666664E-2</v>
      </c>
    </row>
    <row r="1045" spans="2:2">
      <c r="B1045" s="208">
        <v>6.25E-2</v>
      </c>
    </row>
    <row r="1051" spans="2:2">
      <c r="B1051" s="208"/>
    </row>
    <row r="1056" spans="2:2">
      <c r="B1056" s="208"/>
    </row>
    <row r="1057" spans="2:2">
      <c r="B1057" s="208">
        <v>9.375E-2</v>
      </c>
    </row>
    <row r="1059" spans="2:2">
      <c r="B1059" s="208"/>
    </row>
    <row r="1061" spans="2:2">
      <c r="B1061" s="208">
        <v>0.10416666666666667</v>
      </c>
    </row>
    <row r="1067" spans="2:2">
      <c r="B1067" s="87" t="s">
        <v>62</v>
      </c>
    </row>
    <row r="1069" spans="2:2">
      <c r="B1069" s="87" t="s">
        <v>63</v>
      </c>
    </row>
    <row r="1075" spans="2:2">
      <c r="B1075" s="87"/>
    </row>
    <row r="1076" spans="2:2">
      <c r="B1076" s="87" t="s">
        <v>64</v>
      </c>
    </row>
    <row r="1077" spans="2:2">
      <c r="B1077" s="209">
        <v>0.375</v>
      </c>
    </row>
    <row r="1078" spans="2:2">
      <c r="B1078" s="209">
        <v>0.39583333333333331</v>
      </c>
    </row>
    <row r="1079" spans="2:2">
      <c r="B1079" s="209"/>
    </row>
    <row r="1080" spans="2:2">
      <c r="B1080" s="209"/>
    </row>
    <row r="1081" spans="2:2">
      <c r="B1081" s="209">
        <v>0.41666666666666669</v>
      </c>
    </row>
    <row r="1082" spans="2:2">
      <c r="B1082" s="209"/>
    </row>
    <row r="1083" spans="2:2">
      <c r="B1083" s="209"/>
    </row>
    <row r="1084" spans="2:2">
      <c r="B1084" s="209"/>
    </row>
    <row r="1085" spans="2:2">
      <c r="B1085" s="209"/>
    </row>
    <row r="1086" spans="2:2">
      <c r="B1086" s="209"/>
    </row>
    <row r="1087" spans="2:2">
      <c r="B1087" s="209">
        <v>0.4375</v>
      </c>
    </row>
    <row r="1088" spans="2:2">
      <c r="B1088" s="209"/>
    </row>
    <row r="1089" spans="2:2">
      <c r="B1089" s="22"/>
    </row>
    <row r="1090" spans="2:2">
      <c r="B1090" s="22"/>
    </row>
    <row r="1091" spans="2:2">
      <c r="B1091" s="209">
        <v>0.45833333333333331</v>
      </c>
    </row>
    <row r="1092" spans="2:2">
      <c r="B1092" s="22"/>
    </row>
    <row r="1093" spans="2:2">
      <c r="B1093" s="22"/>
    </row>
    <row r="1094" spans="2:2">
      <c r="B1094" s="209"/>
    </row>
    <row r="1095" spans="2:2">
      <c r="B1095" s="22"/>
    </row>
    <row r="1096" spans="2:2">
      <c r="B1096" s="209"/>
    </row>
    <row r="1097" spans="2:2">
      <c r="B1097" s="209"/>
    </row>
    <row r="1098" spans="2:2">
      <c r="B1098" s="209"/>
    </row>
    <row r="1099" spans="2:2">
      <c r="B1099" s="22"/>
    </row>
    <row r="1100" spans="2:2">
      <c r="B1100" s="22"/>
    </row>
    <row r="1101" spans="2:2">
      <c r="B1101" s="209"/>
    </row>
    <row r="1102" spans="2:2">
      <c r="B1102" s="209">
        <v>0.47916666666666669</v>
      </c>
    </row>
    <row r="1103" spans="2:2">
      <c r="B1103" s="22"/>
    </row>
    <row r="1104" spans="2:2">
      <c r="B1104" s="209"/>
    </row>
    <row r="1105" spans="2:2">
      <c r="B1105" s="22"/>
    </row>
    <row r="1106" spans="2:2">
      <c r="B1106" s="22"/>
    </row>
    <row r="1107" spans="2:2">
      <c r="B1107" s="22"/>
    </row>
    <row r="1108" spans="2:2">
      <c r="B1108" s="22"/>
    </row>
    <row r="1109" spans="2:2">
      <c r="B1109" s="209"/>
    </row>
    <row r="1110" spans="2:2">
      <c r="B1110" s="22"/>
    </row>
    <row r="1111" spans="2:2">
      <c r="B1111" s="22"/>
    </row>
    <row r="1112" spans="2:2">
      <c r="B1112" s="22"/>
    </row>
    <row r="1119" spans="2:2">
      <c r="B1119" s="208"/>
    </row>
    <row r="1121" spans="2:2">
      <c r="B1121" s="208">
        <v>4.1666666666666664E-2</v>
      </c>
    </row>
    <row r="1124" spans="2:2">
      <c r="B1124" s="208"/>
    </row>
    <row r="1130" spans="2:2">
      <c r="B1130" s="208"/>
    </row>
    <row r="1133" spans="2:2">
      <c r="B1133" s="208">
        <v>6.25E-2</v>
      </c>
    </row>
    <row r="1135" spans="2:2">
      <c r="B1135" s="208"/>
    </row>
    <row r="1136" spans="2:2">
      <c r="B1136" s="208"/>
    </row>
    <row r="1138" spans="2:2">
      <c r="B1138" s="208"/>
    </row>
    <row r="1140" spans="2:2">
      <c r="B1140" s="208"/>
    </row>
    <row r="1143" spans="2:2">
      <c r="B1143" s="208">
        <v>8.3333333333333329E-2</v>
      </c>
    </row>
    <row r="1146" spans="2:2">
      <c r="B1146" s="208"/>
    </row>
    <row r="1149" spans="2:2">
      <c r="B1149" s="208">
        <v>8.3333333333333329E-2</v>
      </c>
    </row>
    <row r="1175" spans="2:2">
      <c r="B1175" s="208">
        <v>0.10416666666666667</v>
      </c>
    </row>
    <row r="1195" spans="2:2">
      <c r="B1195" s="87" t="s">
        <v>62</v>
      </c>
    </row>
    <row r="1197" spans="2:2">
      <c r="B1197" s="87" t="s">
        <v>63</v>
      </c>
    </row>
    <row r="1203" spans="2:2">
      <c r="B1203" s="87"/>
    </row>
    <row r="1204" spans="2:2">
      <c r="B1204" s="87" t="s">
        <v>64</v>
      </c>
    </row>
    <row r="1205" spans="2:2">
      <c r="B1205" s="209">
        <v>0.375</v>
      </c>
    </row>
    <row r="1206" spans="2:2">
      <c r="B1206" s="209">
        <v>0.39583333333333331</v>
      </c>
    </row>
    <row r="1207" spans="2:2">
      <c r="B1207" s="209">
        <v>0.41666666666666669</v>
      </c>
    </row>
    <row r="1208" spans="2:2">
      <c r="B1208" s="209"/>
    </row>
    <row r="1209" spans="2:2">
      <c r="B1209" s="209"/>
    </row>
    <row r="1210" spans="2:2">
      <c r="B1210" s="209"/>
    </row>
    <row r="1211" spans="2:2">
      <c r="B1211" s="209"/>
    </row>
    <row r="1212" spans="2:2">
      <c r="B1212" s="209"/>
    </row>
    <row r="1213" spans="2:2">
      <c r="B1213" s="209"/>
    </row>
    <row r="1214" spans="2:2">
      <c r="B1214" s="209">
        <v>0.45833333333333331</v>
      </c>
    </row>
    <row r="1215" spans="2:2">
      <c r="B1215" s="209">
        <v>0.5</v>
      </c>
    </row>
    <row r="1216" spans="2:2">
      <c r="B1216" s="209"/>
    </row>
    <row r="1217" spans="2:2">
      <c r="B1217" s="22"/>
    </row>
    <row r="1218" spans="2:2">
      <c r="B1218" s="22"/>
    </row>
    <row r="1219" spans="2:2">
      <c r="B1219" s="209"/>
    </row>
    <row r="1220" spans="2:2">
      <c r="B1220" s="22"/>
    </row>
    <row r="1221" spans="2:2">
      <c r="B1221" s="22"/>
    </row>
    <row r="1222" spans="2:2">
      <c r="B1222" s="209"/>
    </row>
    <row r="1223" spans="2:2">
      <c r="B1223" s="22"/>
    </row>
    <row r="1224" spans="2:2">
      <c r="B1224" s="209"/>
    </row>
    <row r="1225" spans="2:2">
      <c r="B1225" s="209"/>
    </row>
    <row r="1226" spans="2:2">
      <c r="B1226" s="209"/>
    </row>
    <row r="1227" spans="2:2">
      <c r="B1227" s="22"/>
    </row>
    <row r="1228" spans="2:2">
      <c r="B1228" s="209"/>
    </row>
    <row r="1229" spans="2:2">
      <c r="B1229" s="209"/>
    </row>
    <row r="1230" spans="2:2">
      <c r="B1230" s="209"/>
    </row>
    <row r="1231" spans="2:2">
      <c r="B1231" s="22"/>
    </row>
    <row r="1232" spans="2:2">
      <c r="B1232" s="209"/>
    </row>
    <row r="1233" spans="2:2">
      <c r="B1233" s="22"/>
    </row>
    <row r="1234" spans="2:2">
      <c r="B1234" s="22"/>
    </row>
    <row r="1235" spans="2:2">
      <c r="B1235" s="22"/>
    </row>
    <row r="1236" spans="2:2">
      <c r="B1236" s="22"/>
    </row>
    <row r="1237" spans="2:2">
      <c r="B1237" s="209">
        <v>0.52083333333333337</v>
      </c>
    </row>
    <row r="1238" spans="2:2">
      <c r="B1238" s="22"/>
    </row>
    <row r="1239" spans="2:2">
      <c r="B1239" s="22"/>
    </row>
    <row r="1240" spans="2:2">
      <c r="B1240" s="22"/>
    </row>
    <row r="1247" spans="2:2">
      <c r="B1247" s="208"/>
    </row>
    <row r="1249" spans="2:2">
      <c r="B1249" s="208"/>
    </row>
    <row r="1252" spans="2:2">
      <c r="B1252" s="208"/>
    </row>
    <row r="1258" spans="2:2">
      <c r="B1258" s="208"/>
    </row>
    <row r="1259" spans="2:2">
      <c r="B1259" s="208">
        <v>6.25E-2</v>
      </c>
    </row>
    <row r="1261" spans="2:2">
      <c r="B1261" s="208">
        <v>8.3333333333333329E-2</v>
      </c>
    </row>
    <row r="1263" spans="2:2">
      <c r="B1263" s="208"/>
    </row>
    <row r="1264" spans="2:2">
      <c r="B1264" s="208">
        <v>0.10416666666666667</v>
      </c>
    </row>
    <row r="1266" spans="2:2">
      <c r="B1266" s="208"/>
    </row>
    <row r="1268" spans="2:2">
      <c r="B1268" s="87" t="s">
        <v>62</v>
      </c>
    </row>
    <row r="1270" spans="2:2">
      <c r="B1270" s="87" t="s">
        <v>63</v>
      </c>
    </row>
    <row r="1276" spans="2:2">
      <c r="B1276" s="87"/>
    </row>
    <row r="1277" spans="2:2">
      <c r="B1277" s="87" t="s">
        <v>64</v>
      </c>
    </row>
    <row r="1278" spans="2:2">
      <c r="B1278" s="209">
        <v>0.41666666666666669</v>
      </c>
    </row>
    <row r="1279" spans="2:2">
      <c r="B1279" s="209"/>
    </row>
    <row r="1280" spans="2:2">
      <c r="B1280" s="209"/>
    </row>
    <row r="1281" spans="2:2">
      <c r="B1281" s="209"/>
    </row>
    <row r="1282" spans="2:2">
      <c r="B1282" s="209"/>
    </row>
    <row r="1283" spans="2:2">
      <c r="B1283" s="209"/>
    </row>
    <row r="1284" spans="2:2">
      <c r="B1284" s="209"/>
    </row>
    <row r="1285" spans="2:2">
      <c r="B1285" s="209">
        <v>0.4375</v>
      </c>
    </row>
    <row r="1286" spans="2:2">
      <c r="B1286" s="209"/>
    </row>
    <row r="1287" spans="2:2">
      <c r="B1287" s="209"/>
    </row>
    <row r="1288" spans="2:2">
      <c r="B1288" s="209"/>
    </row>
    <row r="1289" spans="2:2">
      <c r="B1289" s="209"/>
    </row>
    <row r="1290" spans="2:2">
      <c r="B1290" s="209">
        <v>0.45833333333333331</v>
      </c>
    </row>
    <row r="1291" spans="2:2">
      <c r="B1291" s="22"/>
    </row>
    <row r="1292" spans="2:2">
      <c r="B1292" s="209"/>
    </row>
    <row r="1293" spans="2:2">
      <c r="B1293" s="22"/>
    </row>
    <row r="1294" spans="2:2">
      <c r="B1294" s="22"/>
    </row>
    <row r="1295" spans="2:2">
      <c r="B1295" s="209"/>
    </row>
    <row r="1296" spans="2:2">
      <c r="B1296" s="22"/>
    </row>
    <row r="1297" spans="2:2">
      <c r="B1297" s="209"/>
    </row>
    <row r="1298" spans="2:2">
      <c r="B1298" s="209"/>
    </row>
    <row r="1299" spans="2:2">
      <c r="B1299" s="209"/>
    </row>
    <row r="1300" spans="2:2">
      <c r="B1300" s="209"/>
    </row>
    <row r="1301" spans="2:2">
      <c r="B1301" s="209"/>
    </row>
    <row r="1302" spans="2:2">
      <c r="B1302" s="209"/>
    </row>
    <row r="1303" spans="2:2">
      <c r="B1303" s="209"/>
    </row>
    <row r="1304" spans="2:2">
      <c r="B1304" s="209">
        <v>0.47916666666666669</v>
      </c>
    </row>
    <row r="1305" spans="2:2">
      <c r="B1305" s="209"/>
    </row>
    <row r="1306" spans="2:2">
      <c r="B1306" s="22"/>
    </row>
    <row r="1307" spans="2:2">
      <c r="B1307" s="22"/>
    </row>
    <row r="1308" spans="2:2">
      <c r="B1308" s="22"/>
    </row>
    <row r="1309" spans="2:2">
      <c r="B1309" s="22"/>
    </row>
    <row r="1310" spans="2:2">
      <c r="B1310" s="209"/>
    </row>
    <row r="1311" spans="2:2">
      <c r="B1311" s="22"/>
    </row>
    <row r="1312" spans="2:2">
      <c r="B1312" s="208"/>
    </row>
    <row r="1313" spans="2:2">
      <c r="B1313" s="208"/>
    </row>
    <row r="1315" spans="2:2">
      <c r="B1315" s="208"/>
    </row>
    <row r="1318" spans="2:2">
      <c r="B1318" s="208"/>
    </row>
    <row r="1324" spans="2:2">
      <c r="B1324" s="208"/>
    </row>
    <row r="1325" spans="2:2">
      <c r="B1325" s="208"/>
    </row>
    <row r="1327" spans="2:2">
      <c r="B1327" s="208">
        <v>0.5</v>
      </c>
    </row>
    <row r="1329" spans="2:2">
      <c r="B1329" s="208"/>
    </row>
    <row r="1330" spans="2:2">
      <c r="B1330" s="208"/>
    </row>
    <row r="1332" spans="2:2">
      <c r="B1332" s="208"/>
    </row>
    <row r="1334" spans="2:2">
      <c r="B1334" s="208"/>
    </row>
    <row r="1337" spans="2:2">
      <c r="B1337" s="208">
        <v>0.52083333333333337</v>
      </c>
    </row>
    <row r="1340" spans="2:2">
      <c r="B1340" s="208"/>
    </row>
    <row r="1350" spans="2:2">
      <c r="B1350" s="208"/>
    </row>
    <row r="1358" spans="2:2">
      <c r="B1358" s="208">
        <v>4.1666666666666664E-2</v>
      </c>
    </row>
    <row r="1362" spans="2:2">
      <c r="B1362" s="208">
        <v>6.25E-2</v>
      </c>
    </row>
    <row r="1369" spans="2:2">
      <c r="B1369" s="208"/>
    </row>
    <row r="1386" spans="2:2">
      <c r="B1386" s="208">
        <v>8.3333333333333329E-2</v>
      </c>
    </row>
    <row r="1411" spans="2:2">
      <c r="B1411" s="87" t="s">
        <v>62</v>
      </c>
    </row>
    <row r="1413" spans="2:2">
      <c r="B1413" s="87" t="s">
        <v>63</v>
      </c>
    </row>
    <row r="1419" spans="2:2">
      <c r="B1419" s="87"/>
    </row>
    <row r="1420" spans="2:2">
      <c r="B1420" s="87" t="s">
        <v>64</v>
      </c>
    </row>
    <row r="1421" spans="2:2">
      <c r="B1421" s="209">
        <v>0.41666666666666669</v>
      </c>
    </row>
    <row r="1422" spans="2:2">
      <c r="B1422" s="209"/>
    </row>
    <row r="1423" spans="2:2">
      <c r="B1423" s="209"/>
    </row>
    <row r="1424" spans="2:2">
      <c r="B1424" s="209"/>
    </row>
    <row r="1425" spans="2:2">
      <c r="B1425" s="209"/>
    </row>
    <row r="1426" spans="2:2">
      <c r="B1426" s="209"/>
    </row>
    <row r="1427" spans="2:2">
      <c r="B1427" s="209"/>
    </row>
    <row r="1428" spans="2:2">
      <c r="B1428" s="209">
        <v>0.4375</v>
      </c>
    </row>
    <row r="1429" spans="2:2">
      <c r="B1429" s="209"/>
    </row>
    <row r="1430" spans="2:2">
      <c r="B1430" s="209"/>
    </row>
    <row r="1431" spans="2:2">
      <c r="B1431" s="209"/>
    </row>
    <row r="1432" spans="2:2">
      <c r="B1432" s="209"/>
    </row>
    <row r="1433" spans="2:2">
      <c r="B1433" s="209">
        <v>0.45833333333333331</v>
      </c>
    </row>
    <row r="1434" spans="2:2">
      <c r="B1434" s="22"/>
    </row>
    <row r="1435" spans="2:2">
      <c r="B1435" s="209"/>
    </row>
    <row r="1436" spans="2:2">
      <c r="B1436" s="22"/>
    </row>
    <row r="1437" spans="2:2">
      <c r="B1437" s="22"/>
    </row>
    <row r="1438" spans="2:2">
      <c r="B1438" s="209"/>
    </row>
    <row r="1439" spans="2:2">
      <c r="B1439" s="22"/>
    </row>
    <row r="1440" spans="2:2">
      <c r="B1440" s="209"/>
    </row>
    <row r="1441" spans="2:2">
      <c r="B1441" s="209"/>
    </row>
    <row r="1442" spans="2:2">
      <c r="B1442" s="209"/>
    </row>
    <row r="1443" spans="2:2">
      <c r="B1443" s="209"/>
    </row>
    <row r="1444" spans="2:2">
      <c r="B1444" s="209"/>
    </row>
    <row r="1445" spans="2:2">
      <c r="B1445" s="209"/>
    </row>
    <row r="1446" spans="2:2">
      <c r="B1446" s="209"/>
    </row>
    <row r="1447" spans="2:2">
      <c r="B1447" s="209">
        <v>0.47916666666666669</v>
      </c>
    </row>
    <row r="1448" spans="2:2">
      <c r="B1448" s="209"/>
    </row>
    <row r="1449" spans="2:2">
      <c r="B1449" s="22"/>
    </row>
    <row r="1450" spans="2:2">
      <c r="B1450" s="22"/>
    </row>
    <row r="1451" spans="2:2">
      <c r="B1451" s="22"/>
    </row>
    <row r="1452" spans="2:2">
      <c r="B1452" s="22"/>
    </row>
    <row r="1453" spans="2:2">
      <c r="B1453" s="209"/>
    </row>
    <row r="1454" spans="2:2">
      <c r="B1454" s="22"/>
    </row>
    <row r="1455" spans="2:2">
      <c r="B1455" s="208"/>
    </row>
    <row r="1456" spans="2:2">
      <c r="B1456" s="208"/>
    </row>
    <row r="1458" spans="2:2">
      <c r="B1458" s="208"/>
    </row>
    <row r="1461" spans="2:2">
      <c r="B1461" s="208"/>
    </row>
    <row r="1467" spans="2:2">
      <c r="B1467" s="208"/>
    </row>
    <row r="1468" spans="2:2">
      <c r="B1468" s="208"/>
    </row>
    <row r="1470" spans="2:2">
      <c r="B1470" s="208">
        <v>0.5</v>
      </c>
    </row>
    <row r="1472" spans="2:2">
      <c r="B1472" s="208"/>
    </row>
    <row r="1473" spans="2:2">
      <c r="B1473" s="208"/>
    </row>
    <row r="1475" spans="2:2">
      <c r="B1475" s="208"/>
    </row>
    <row r="1477" spans="2:2">
      <c r="B1477" s="208"/>
    </row>
    <row r="1480" spans="2:2">
      <c r="B1480" s="208">
        <v>0.52083333333333337</v>
      </c>
    </row>
    <row r="1483" spans="2:2">
      <c r="B1483" s="208"/>
    </row>
    <row r="1491" spans="2:2">
      <c r="B1491" s="87"/>
    </row>
    <row r="1492" spans="2:2">
      <c r="B1492" s="87"/>
    </row>
    <row r="1493" spans="2:2">
      <c r="B1493" s="208"/>
    </row>
    <row r="1501" spans="2:2">
      <c r="B1501" s="208">
        <v>4.1666666666666664E-2</v>
      </c>
    </row>
    <row r="1505" spans="2:2">
      <c r="B1505" s="208">
        <v>6.25E-2</v>
      </c>
    </row>
    <row r="1512" spans="2:2">
      <c r="B1512" s="208"/>
    </row>
    <row r="1529" spans="2:2">
      <c r="B1529" s="208">
        <v>8.3333333333333329E-2</v>
      </c>
    </row>
    <row r="1554" spans="2:2">
      <c r="B1554" s="208">
        <v>0.10416666666666667</v>
      </c>
    </row>
    <row r="1555" spans="2:2">
      <c r="B1555" s="87" t="s">
        <v>62</v>
      </c>
    </row>
    <row r="1557" spans="2:2">
      <c r="B1557" s="87" t="s">
        <v>63</v>
      </c>
    </row>
    <row r="1563" spans="2:2">
      <c r="B1563" s="87"/>
    </row>
    <row r="1564" spans="2:2">
      <c r="B1564" s="87" t="s">
        <v>64</v>
      </c>
    </row>
    <row r="1565" spans="2:2">
      <c r="B1565" s="209">
        <v>0.39583333333333331</v>
      </c>
    </row>
    <row r="1566" spans="2:2">
      <c r="B1566" s="209"/>
    </row>
    <row r="1567" spans="2:2">
      <c r="B1567" s="209"/>
    </row>
    <row r="1568" spans="2:2">
      <c r="B1568" s="209"/>
    </row>
    <row r="1569" spans="2:2">
      <c r="B1569" s="209"/>
    </row>
    <row r="1570" spans="2:2">
      <c r="B1570" s="209"/>
    </row>
    <row r="1571" spans="2:2">
      <c r="B1571" s="209"/>
    </row>
    <row r="1572" spans="2:2">
      <c r="B1572" s="209"/>
    </row>
    <row r="1573" spans="2:2">
      <c r="B1573" s="209"/>
    </row>
    <row r="1574" spans="2:2">
      <c r="B1574" s="209"/>
    </row>
    <row r="1575" spans="2:2">
      <c r="B1575" s="209"/>
    </row>
    <row r="1576" spans="2:2">
      <c r="B1576" s="209">
        <v>0.41666666666666669</v>
      </c>
    </row>
    <row r="1577" spans="2:2">
      <c r="B1577" s="209"/>
    </row>
    <row r="1578" spans="2:2">
      <c r="B1578" s="22"/>
    </row>
    <row r="1579" spans="2:2">
      <c r="B1579" s="209"/>
    </row>
    <row r="1580" spans="2:2">
      <c r="B1580" s="22"/>
    </row>
    <row r="1581" spans="2:2">
      <c r="B1581" s="22"/>
    </row>
    <row r="1582" spans="2:2">
      <c r="B1582" s="209"/>
    </row>
    <row r="1583" spans="2:2">
      <c r="B1583" s="22"/>
    </row>
    <row r="1584" spans="2:2">
      <c r="B1584" s="209">
        <v>0.4375</v>
      </c>
    </row>
    <row r="1585" spans="2:2">
      <c r="B1585" s="209"/>
    </row>
    <row r="1586" spans="2:2">
      <c r="B1586" s="209">
        <v>0.45833333333333331</v>
      </c>
    </row>
    <row r="1587" spans="2:2">
      <c r="B1587" s="209"/>
    </row>
    <row r="1588" spans="2:2">
      <c r="B1588" s="209"/>
    </row>
    <row r="1589" spans="2:2">
      <c r="B1589" s="209"/>
    </row>
    <row r="1590" spans="2:2">
      <c r="B1590" s="209"/>
    </row>
    <row r="1591" spans="2:2">
      <c r="B1591" s="209"/>
    </row>
    <row r="1592" spans="2:2">
      <c r="B1592" s="209"/>
    </row>
    <row r="1593" spans="2:2">
      <c r="B1593" s="209">
        <v>0.47916666666666669</v>
      </c>
    </row>
    <row r="1594" spans="2:2">
      <c r="B1594" s="22"/>
    </row>
    <row r="1595" spans="2:2">
      <c r="B1595" s="22"/>
    </row>
    <row r="1596" spans="2:2">
      <c r="B1596" s="22"/>
    </row>
    <row r="1597" spans="2:2">
      <c r="B1597" s="209"/>
    </row>
    <row r="1598" spans="2:2">
      <c r="B1598" s="22"/>
    </row>
    <row r="1599" spans="2:2">
      <c r="B1599" s="208"/>
    </row>
    <row r="1600" spans="2:2">
      <c r="B1600" s="208"/>
    </row>
    <row r="1602" spans="2:2">
      <c r="B1602" s="208">
        <v>0.5</v>
      </c>
    </row>
    <row r="1605" spans="2:2">
      <c r="B1605" s="208"/>
    </row>
    <row r="1611" spans="2:2">
      <c r="B1611" s="208"/>
    </row>
    <row r="1612" spans="2:2">
      <c r="B1612" s="208"/>
    </row>
    <row r="1614" spans="2:2">
      <c r="B1614" s="208"/>
    </row>
    <row r="1615" spans="2:2">
      <c r="B1615" s="208">
        <v>0.52083333333333337</v>
      </c>
    </row>
    <row r="1616" spans="2:2">
      <c r="B1616" s="208"/>
    </row>
    <row r="1617" spans="2:2">
      <c r="B1617" s="208"/>
    </row>
    <row r="1619" spans="2:2">
      <c r="B1619" s="208"/>
    </row>
    <row r="1621" spans="2:2">
      <c r="B1621" s="208"/>
    </row>
    <row r="1622" spans="2:2">
      <c r="B1622" s="208">
        <v>4.1666666666666664E-2</v>
      </c>
    </row>
    <row r="1624" spans="2:2">
      <c r="B1624" s="208"/>
    </row>
    <row r="1627" spans="2:2">
      <c r="B1627" s="208"/>
    </row>
    <row r="1631" spans="2:2">
      <c r="B1631" s="208">
        <v>6.25E-2</v>
      </c>
    </row>
    <row r="1637" spans="2:2">
      <c r="B1637" s="208"/>
    </row>
    <row r="1641" spans="2:2">
      <c r="B1641" s="87" t="s">
        <v>62</v>
      </c>
    </row>
    <row r="1643" spans="2:2">
      <c r="B1643" s="87" t="s">
        <v>63</v>
      </c>
    </row>
    <row r="1649" spans="2:2">
      <c r="B1649" s="87"/>
    </row>
    <row r="1650" spans="2:2">
      <c r="B1650" s="87" t="s">
        <v>64</v>
      </c>
    </row>
    <row r="1651" spans="2:2">
      <c r="B1651" s="209">
        <v>0.45833333333333331</v>
      </c>
    </row>
    <row r="1652" spans="2:2">
      <c r="B1652" s="209"/>
    </row>
    <row r="1653" spans="2:2">
      <c r="B1653" s="209"/>
    </row>
    <row r="1654" spans="2:2">
      <c r="B1654" s="209"/>
    </row>
    <row r="1655" spans="2:2">
      <c r="B1655" s="209"/>
    </row>
    <row r="1656" spans="2:2">
      <c r="B1656" s="209"/>
    </row>
    <row r="1657" spans="2:2">
      <c r="B1657" s="209"/>
    </row>
    <row r="1658" spans="2:2">
      <c r="B1658" s="209"/>
    </row>
    <row r="1659" spans="2:2">
      <c r="B1659" s="209"/>
    </row>
    <row r="1660" spans="2:2">
      <c r="B1660" s="209"/>
    </row>
    <row r="1661" spans="2:2">
      <c r="B1661" s="209"/>
    </row>
    <row r="1662" spans="2:2">
      <c r="B1662" s="209"/>
    </row>
    <row r="1663" spans="2:2">
      <c r="B1663" s="209"/>
    </row>
    <row r="1664" spans="2:2">
      <c r="B1664" s="22"/>
    </row>
    <row r="1665" spans="2:2">
      <c r="B1665" s="209"/>
    </row>
    <row r="1666" spans="2:2">
      <c r="B1666" s="22"/>
    </row>
    <row r="1667" spans="2:2">
      <c r="B1667" s="22"/>
    </row>
    <row r="1668" spans="2:2">
      <c r="B1668" s="209"/>
    </row>
    <row r="1669" spans="2:2">
      <c r="B1669" s="22"/>
    </row>
    <row r="1670" spans="2:2">
      <c r="B1670" s="209"/>
    </row>
    <row r="1671" spans="2:2">
      <c r="B1671" s="209">
        <v>0.5</v>
      </c>
    </row>
    <row r="1672" spans="2:2">
      <c r="B1672" s="209"/>
    </row>
    <row r="1673" spans="2:2">
      <c r="B1673" s="209"/>
    </row>
    <row r="1674" spans="2:2">
      <c r="B1674" s="209"/>
    </row>
    <row r="1675" spans="2:2">
      <c r="B1675" s="209"/>
    </row>
    <row r="1676" spans="2:2">
      <c r="B1676" s="209"/>
    </row>
    <row r="1677" spans="2:2">
      <c r="B1677" s="209">
        <v>0.52083333333333337</v>
      </c>
    </row>
    <row r="1678" spans="2:2">
      <c r="B1678" s="209"/>
    </row>
    <row r="1679" spans="2:2">
      <c r="B1679" s="209"/>
    </row>
    <row r="1680" spans="2:2">
      <c r="B1680" s="22"/>
    </row>
    <row r="1681" spans="2:2">
      <c r="B1681" s="22"/>
    </row>
    <row r="1682" spans="2:2">
      <c r="B1682" s="22"/>
    </row>
    <row r="1683" spans="2:2">
      <c r="B1683" s="209"/>
    </row>
    <row r="1684" spans="2:2">
      <c r="B1684" s="209">
        <v>4.1666666666666664E-2</v>
      </c>
    </row>
    <row r="1685" spans="2:2">
      <c r="B1685" s="208"/>
    </row>
    <row r="1686" spans="2:2">
      <c r="B1686" s="208"/>
    </row>
    <row r="1688" spans="2:2">
      <c r="B1688" s="208"/>
    </row>
    <row r="1691" spans="2:2">
      <c r="B1691" s="208"/>
    </row>
    <row r="1693" spans="2:2">
      <c r="B1693" s="208">
        <v>6.25E-2</v>
      </c>
    </row>
    <row r="1695" spans="2:2">
      <c r="B1695" s="208">
        <v>8.3333333333333329E-2</v>
      </c>
    </row>
    <row r="1697" spans="2:2">
      <c r="B1697" s="208"/>
    </row>
    <row r="1698" spans="2:2">
      <c r="B1698" s="208"/>
    </row>
    <row r="1699" spans="2:2">
      <c r="B1699" s="208">
        <v>0.10416666666666667</v>
      </c>
    </row>
    <row r="1700" spans="2:2">
      <c r="B1700" s="208">
        <v>0.125</v>
      </c>
    </row>
    <row r="1701" spans="2:2">
      <c r="B1701" s="208"/>
    </row>
    <row r="1702" spans="2:2">
      <c r="B1702" s="208"/>
    </row>
    <row r="1703" spans="2:2">
      <c r="B1703" s="208"/>
    </row>
    <row r="1705" spans="2:2">
      <c r="B1705" s="208"/>
    </row>
    <row r="1706" spans="2:2">
      <c r="B1706" s="208">
        <v>0.14583333333333334</v>
      </c>
    </row>
    <row r="1707" spans="2:2">
      <c r="B1707" s="208"/>
    </row>
    <row r="1708" spans="2:2">
      <c r="B1708" s="208"/>
    </row>
    <row r="1710" spans="2:2">
      <c r="B1710" s="208"/>
    </row>
    <row r="1713" spans="2:2">
      <c r="B1713" s="208"/>
    </row>
    <row r="1717" spans="2:2">
      <c r="B1717" s="208"/>
    </row>
    <row r="1718" spans="2:2">
      <c r="B1718" s="87" t="s">
        <v>62</v>
      </c>
    </row>
    <row r="1720" spans="2:2">
      <c r="B1720" s="87" t="s">
        <v>63</v>
      </c>
    </row>
    <row r="1726" spans="2:2">
      <c r="B1726" s="87"/>
    </row>
    <row r="1727" spans="2:2">
      <c r="B1727" s="87" t="s">
        <v>64</v>
      </c>
    </row>
    <row r="1728" spans="2:2">
      <c r="B1728" s="209">
        <v>0.45833333333333331</v>
      </c>
    </row>
    <row r="1729" spans="2:2">
      <c r="B1729" s="209"/>
    </row>
    <row r="1730" spans="2:2">
      <c r="B1730" s="209"/>
    </row>
    <row r="1731" spans="2:2">
      <c r="B1731" s="209"/>
    </row>
    <row r="1732" spans="2:2">
      <c r="B1732" s="209"/>
    </row>
    <row r="1733" spans="2:2">
      <c r="B1733" s="209"/>
    </row>
    <row r="1734" spans="2:2">
      <c r="B1734" s="209"/>
    </row>
    <row r="1735" spans="2:2">
      <c r="B1735" s="209"/>
    </row>
    <row r="1736" spans="2:2">
      <c r="B1736" s="209"/>
    </row>
    <row r="1737" spans="2:2">
      <c r="B1737" s="209"/>
    </row>
    <row r="1738" spans="2:2">
      <c r="B1738" s="209"/>
    </row>
    <row r="1739" spans="2:2">
      <c r="B1739" s="209"/>
    </row>
    <row r="1740" spans="2:2">
      <c r="B1740" s="209">
        <v>0.47916666666666669</v>
      </c>
    </row>
    <row r="1741" spans="2:2">
      <c r="B1741" s="22"/>
    </row>
    <row r="1742" spans="2:2">
      <c r="B1742" s="209"/>
    </row>
    <row r="1743" spans="2:2">
      <c r="B1743" s="22"/>
    </row>
    <row r="1744" spans="2:2">
      <c r="B1744" s="22"/>
    </row>
    <row r="1745" spans="2:2">
      <c r="B1745" s="209"/>
    </row>
    <row r="1746" spans="2:2">
      <c r="B1746" s="22"/>
    </row>
    <row r="1747" spans="2:2">
      <c r="B1747" s="209"/>
    </row>
    <row r="1748" spans="2:2">
      <c r="B1748" s="209"/>
    </row>
    <row r="1749" spans="2:2">
      <c r="B1749" s="209"/>
    </row>
    <row r="1750" spans="2:2">
      <c r="B1750" s="209"/>
    </row>
    <row r="1751" spans="2:2">
      <c r="B1751" s="209"/>
    </row>
    <row r="1752" spans="2:2">
      <c r="B1752" s="209">
        <v>0.5</v>
      </c>
    </row>
    <row r="1753" spans="2:2">
      <c r="B1753" s="209"/>
    </row>
    <row r="1754" spans="2:2">
      <c r="B1754" s="209"/>
    </row>
    <row r="1755" spans="2:2">
      <c r="B1755" s="209"/>
    </row>
    <row r="1756" spans="2:2">
      <c r="B1756" s="209"/>
    </row>
    <row r="1757" spans="2:2">
      <c r="B1757" s="22"/>
    </row>
    <row r="1758" spans="2:2">
      <c r="B1758" s="209">
        <v>0.52083333333333337</v>
      </c>
    </row>
    <row r="1759" spans="2:2">
      <c r="B1759" s="22"/>
    </row>
    <row r="1760" spans="2:2">
      <c r="B1760" s="209"/>
    </row>
    <row r="1761" spans="2:2">
      <c r="B1761" s="209"/>
    </row>
    <row r="1762" spans="2:2">
      <c r="B1762" s="208"/>
    </row>
    <row r="1763" spans="2:2">
      <c r="B1763" s="208">
        <v>4.1666666666666664E-2</v>
      </c>
    </row>
    <row r="1765" spans="2:2">
      <c r="B1765" s="208"/>
    </row>
    <row r="1768" spans="2:2">
      <c r="B1768" s="208"/>
    </row>
    <row r="1770" spans="2:2">
      <c r="B1770" s="208"/>
    </row>
    <row r="1772" spans="2:2">
      <c r="B1772" s="208"/>
    </row>
    <row r="1774" spans="2:2">
      <c r="B1774" s="208"/>
    </row>
    <row r="1775" spans="2:2">
      <c r="B1775" s="208"/>
    </row>
    <row r="1776" spans="2:2">
      <c r="B1776" s="208"/>
    </row>
    <row r="1777" spans="2:2">
      <c r="B1777" s="208"/>
    </row>
    <row r="1778" spans="2:2">
      <c r="B1778" s="208"/>
    </row>
    <row r="1779" spans="2:2">
      <c r="B1779" s="208"/>
    </row>
    <row r="1780" spans="2:2">
      <c r="B1780" s="208"/>
    </row>
    <row r="1782" spans="2:2">
      <c r="B1782" s="208"/>
    </row>
    <row r="1783" spans="2:2">
      <c r="B1783" s="208">
        <v>6.25E-2</v>
      </c>
    </row>
    <row r="1784" spans="2:2">
      <c r="B1784" s="208"/>
    </row>
    <row r="1785" spans="2:2">
      <c r="B1785" s="208"/>
    </row>
    <row r="1787" spans="2:2">
      <c r="B1787" s="208"/>
    </row>
    <row r="1790" spans="2:2">
      <c r="B1790" s="208"/>
    </row>
    <row r="1794" spans="2:2">
      <c r="B1794" s="208"/>
    </row>
    <row r="1797" spans="2:2">
      <c r="B1797" s="208">
        <v>8.3333333333333329E-2</v>
      </c>
    </row>
    <row r="1799" spans="2:2">
      <c r="B1799" s="87" t="s">
        <v>62</v>
      </c>
    </row>
    <row r="1801" spans="2:2">
      <c r="B1801" s="87" t="s">
        <v>63</v>
      </c>
    </row>
    <row r="1807" spans="2:2">
      <c r="B1807" s="87"/>
    </row>
    <row r="1808" spans="2:2">
      <c r="B1808" s="87" t="s">
        <v>64</v>
      </c>
    </row>
    <row r="1809" spans="2:2">
      <c r="B1809" s="209">
        <v>0.40625</v>
      </c>
    </row>
    <row r="1810" spans="2:2">
      <c r="B1810" s="209">
        <v>0.41666666666666669</v>
      </c>
    </row>
    <row r="1811" spans="2:2">
      <c r="B1811" s="209"/>
    </row>
    <row r="1812" spans="2:2">
      <c r="B1812" s="209"/>
    </row>
    <row r="1813" spans="2:2">
      <c r="B1813" s="209">
        <v>0.4375</v>
      </c>
    </row>
    <row r="1814" spans="2:2">
      <c r="B1814" s="209"/>
    </row>
    <row r="1815" spans="2:2">
      <c r="B1815" s="209">
        <v>0.45833333333333331</v>
      </c>
    </row>
    <row r="1816" spans="2:2">
      <c r="B1816" s="209">
        <v>0.47916666666666669</v>
      </c>
    </row>
    <row r="1817" spans="2:2">
      <c r="B1817" s="209"/>
    </row>
    <row r="1818" spans="2:2">
      <c r="B1818" s="209"/>
    </row>
    <row r="1819" spans="2:2">
      <c r="B1819" s="209"/>
    </row>
    <row r="1820" spans="2:2">
      <c r="B1820" s="209"/>
    </row>
    <row r="1821" spans="2:2">
      <c r="B1821" s="209"/>
    </row>
    <row r="1822" spans="2:2">
      <c r="B1822" s="22"/>
    </row>
    <row r="1823" spans="2:2">
      <c r="B1823" s="209"/>
    </row>
    <row r="1824" spans="2:2">
      <c r="B1824" s="209"/>
    </row>
    <row r="1825" spans="2:2">
      <c r="B1825" s="209">
        <v>0.52083333333333337</v>
      </c>
    </row>
    <row r="1826" spans="2:2">
      <c r="B1826" s="209"/>
    </row>
    <row r="1827" spans="2:2">
      <c r="B1827" s="22"/>
    </row>
    <row r="1828" spans="2:2">
      <c r="B1828" s="209"/>
    </row>
    <row r="1829" spans="2:2">
      <c r="B1829" s="209"/>
    </row>
    <row r="1830" spans="2:2">
      <c r="B1830" s="209"/>
    </row>
    <row r="1831" spans="2:2">
      <c r="B1831" s="209"/>
    </row>
    <row r="1832" spans="2:2">
      <c r="B1832" s="209"/>
    </row>
    <row r="1833" spans="2:2">
      <c r="B1833" s="209"/>
    </row>
    <row r="1834" spans="2:2">
      <c r="B1834" s="209"/>
    </row>
    <row r="1835" spans="2:2">
      <c r="B1835" s="209"/>
    </row>
    <row r="1836" spans="2:2">
      <c r="B1836" s="209">
        <v>4.1666666666666664E-2</v>
      </c>
    </row>
    <row r="1837" spans="2:2">
      <c r="B1837" s="209"/>
    </row>
    <row r="1838" spans="2:2">
      <c r="B1838" s="22"/>
    </row>
    <row r="1839" spans="2:2">
      <c r="B1839" s="22"/>
    </row>
    <row r="1840" spans="2:2">
      <c r="B1840" s="209">
        <v>6.25E-2</v>
      </c>
    </row>
    <row r="1841" spans="2:2">
      <c r="B1841" s="209"/>
    </row>
    <row r="1842" spans="2:2">
      <c r="B1842" s="22"/>
    </row>
    <row r="1843" spans="2:2">
      <c r="B1843" s="208"/>
    </row>
    <row r="1844" spans="2:2">
      <c r="B1844" s="208"/>
    </row>
    <row r="1845" spans="2:2">
      <c r="B1845" s="208">
        <v>8.3333333333333329E-2</v>
      </c>
    </row>
    <row r="1846" spans="2:2">
      <c r="B1846" s="208"/>
    </row>
    <row r="1849" spans="2:2">
      <c r="B1849" s="208"/>
    </row>
    <row r="1850" spans="2:2">
      <c r="B1850" s="87" t="s">
        <v>62</v>
      </c>
    </row>
    <row r="1852" spans="2:2">
      <c r="B1852" s="87" t="s">
        <v>63</v>
      </c>
    </row>
    <row r="1858" spans="2:2">
      <c r="B1858" s="87"/>
    </row>
    <row r="1859" spans="2:2">
      <c r="B1859" s="87" t="s">
        <v>64</v>
      </c>
    </row>
    <row r="1860" spans="2:2">
      <c r="B1860" s="209">
        <v>8.3333333333333329E-2</v>
      </c>
    </row>
    <row r="1861" spans="2:2">
      <c r="B1861" s="209"/>
    </row>
    <row r="1862" spans="2:2">
      <c r="B1862" s="209"/>
    </row>
    <row r="1863" spans="2:2">
      <c r="B1863" s="209"/>
    </row>
    <row r="1864" spans="2:2">
      <c r="B1864" s="209"/>
    </row>
    <row r="1865" spans="2:2">
      <c r="B1865" s="209"/>
    </row>
    <row r="1866" spans="2:2">
      <c r="B1866" s="209"/>
    </row>
    <row r="1867" spans="2:2">
      <c r="B1867" s="209"/>
    </row>
    <row r="1868" spans="2:2">
      <c r="B1868" s="209"/>
    </row>
    <row r="1869" spans="2:2">
      <c r="B1869" s="209"/>
    </row>
    <row r="1870" spans="2:2">
      <c r="B1870" s="209"/>
    </row>
    <row r="1871" spans="2:2">
      <c r="B1871" s="209"/>
    </row>
    <row r="1872" spans="2:2">
      <c r="B1872" s="209"/>
    </row>
    <row r="1873" spans="2:2">
      <c r="B1873" s="22"/>
    </row>
    <row r="1874" spans="2:2">
      <c r="B1874" s="209"/>
    </row>
    <row r="1875" spans="2:2">
      <c r="B1875" s="209">
        <v>0.10416666666666667</v>
      </c>
    </row>
    <row r="1876" spans="2:2">
      <c r="B1876" s="22"/>
    </row>
    <row r="1877" spans="2:2">
      <c r="B1877" s="209"/>
    </row>
    <row r="1878" spans="2:2">
      <c r="B1878" s="22"/>
    </row>
    <row r="1879" spans="2:2">
      <c r="B1879" s="209"/>
    </row>
    <row r="1880" spans="2:2">
      <c r="B1880" s="209"/>
    </row>
    <row r="1881" spans="2:2">
      <c r="B1881" s="209"/>
    </row>
    <row r="1882" spans="2:2">
      <c r="B1882" s="209"/>
    </row>
    <row r="1883" spans="2:2">
      <c r="B1883" s="209"/>
    </row>
    <row r="1884" spans="2:2">
      <c r="B1884" s="209"/>
    </row>
    <row r="1885" spans="2:2">
      <c r="B1885" s="209"/>
    </row>
    <row r="1886" spans="2:2">
      <c r="B1886" s="209"/>
    </row>
    <row r="1887" spans="2:2">
      <c r="B1887" s="209"/>
    </row>
    <row r="1888" spans="2:2">
      <c r="B1888" s="209"/>
    </row>
    <row r="1889" spans="2:2">
      <c r="B1889" s="22"/>
    </row>
    <row r="1890" spans="2:2">
      <c r="B1890" s="22"/>
    </row>
    <row r="1891" spans="2:2">
      <c r="B1891" s="22"/>
    </row>
    <row r="1892" spans="2:2">
      <c r="B1892" s="209"/>
    </row>
    <row r="1893" spans="2:2">
      <c r="B1893" s="22"/>
    </row>
    <row r="1894" spans="2:2">
      <c r="B1894" s="208"/>
    </row>
    <row r="1895" spans="2:2">
      <c r="B1895" s="208"/>
    </row>
    <row r="1897" spans="2:2">
      <c r="B1897" s="208"/>
    </row>
    <row r="1900" spans="2:2">
      <c r="B1900" s="208"/>
    </row>
    <row r="1906" spans="2:2">
      <c r="B1906" s="208"/>
    </row>
    <row r="1907" spans="2:2">
      <c r="B1907" s="208"/>
    </row>
    <row r="1909" spans="2:2">
      <c r="B1909" s="208"/>
    </row>
    <row r="1910" spans="2:2">
      <c r="B1910" s="208"/>
    </row>
    <row r="1911" spans="2:2">
      <c r="B1911" s="208">
        <v>0.14583333333333334</v>
      </c>
    </row>
  </sheetData>
  <dataConsolidate/>
  <customSheetViews>
    <customSheetView guid="{0A510603-FE9B-4CD5-A4D2-8C62E5448D4B}" fitToPage="1" showRuler="0">
      <selection activeCell="R20" sqref="R20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1"/>
      <headerFooter alignWithMargins="0"/>
    </customSheetView>
    <customSheetView guid="{C2ED3EC0-A5A2-11D4-AD0B-005004AD6C46}" fitToPage="1" printArea="1" showRuler="0">
      <selection activeCell="A6" sqref="A6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2"/>
      <headerFooter alignWithMargins="0"/>
    </customSheetView>
    <customSheetView guid="{D174C659-3169-4E0A-9FBC-11FF945F8575}" fitToPage="1" showRuler="0">
      <selection activeCell="G20" sqref="G20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3"/>
      <headerFooter alignWithMargins="0"/>
    </customSheetView>
    <customSheetView guid="{E8C32DA9-0164-4F67-B3EC-42FCEEB16D5C}" fitToPage="1" showRuler="0" topLeftCell="C1">
      <selection activeCell="N15" sqref="N15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4"/>
      <headerFooter alignWithMargins="0"/>
    </customSheetView>
    <customSheetView guid="{61DBA1B3-E59B-4919-9AAE-0AA2686EA6EF}" showPageBreaks="1" fitToPage="1" printArea="1" showRuler="0" topLeftCell="E1">
      <selection activeCell="K176" sqref="K176:K187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5"/>
      <headerFooter alignWithMargins="0"/>
    </customSheetView>
    <customSheetView guid="{B8F7A2A6-ADDA-446E-A2E2-71D108D720EE}" fitToPage="1" showRuler="0" topLeftCell="K1">
      <selection activeCell="U4" sqref="U4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6"/>
      <headerFooter alignWithMargins="0"/>
    </customSheetView>
    <customSheetView guid="{D2F15E24-6D0C-42A6-AC7E-867035E37C0D}" showPageBreaks="1" fitToPage="1" printArea="1" showRuler="0">
      <selection activeCell="I6" sqref="I6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7"/>
      <headerFooter alignWithMargins="0"/>
    </customSheetView>
    <customSheetView guid="{DEEDC23C-5E0A-459A-BE7F-FE8D0597CCC6}" fitToPage="1">
      <selection activeCell="N9" sqref="N9"/>
      <pageMargins left="0.74803149606299213" right="0.74803149606299213" top="0.98425196850393704" bottom="0.98425196850393704" header="0.51181102362204722" footer="0.51181102362204722"/>
      <pageSetup fitToWidth="4" orientation="portrait" horizontalDpi="300" verticalDpi="300" r:id="rId8"/>
      <headerFooter alignWithMargins="0"/>
    </customSheetView>
  </customSheetViews>
  <mergeCells count="3">
    <mergeCell ref="AT2:AT3"/>
    <mergeCell ref="A2:B4"/>
    <mergeCell ref="AC3:AF3"/>
  </mergeCells>
  <phoneticPr fontId="0" type="noConversion"/>
  <pageMargins left="0.74803149606299213" right="0.74803149606299213" top="0.98425196850393704" bottom="0.98425196850393704" header="0.51181102362204722" footer="0.51181102362204722"/>
  <pageSetup fitToWidth="4" orientation="portrait" horizontalDpi="300" verticalDpi="300" r:id="rId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pageSetUpPr fitToPage="1"/>
  </sheetPr>
  <dimension ref="A1:AO8"/>
  <sheetViews>
    <sheetView topLeftCell="AH1" zoomScaleNormal="100" workbookViewId="0">
      <selection activeCell="AM12" sqref="AM12"/>
    </sheetView>
  </sheetViews>
  <sheetFormatPr defaultColWidth="9.109375" defaultRowHeight="12.3"/>
  <cols>
    <col min="1" max="1" width="12.44140625" style="33" customWidth="1"/>
    <col min="2" max="2" width="21.109375" style="29" bestFit="1" customWidth="1"/>
    <col min="3" max="3" width="25.5546875" style="29" bestFit="1" customWidth="1"/>
    <col min="4" max="4" width="12" style="29" bestFit="1" customWidth="1"/>
    <col min="5" max="5" width="28.6640625" style="29" bestFit="1" customWidth="1"/>
    <col min="6" max="6" width="32.77734375" style="29" bestFit="1" customWidth="1"/>
    <col min="7" max="7" width="27.44140625" style="29" customWidth="1"/>
    <col min="8" max="8" width="16.77734375" style="29" bestFit="1" customWidth="1"/>
    <col min="9" max="9" width="16" style="29" bestFit="1" customWidth="1"/>
    <col min="10" max="10" width="14.109375" style="29" bestFit="1" customWidth="1"/>
    <col min="11" max="11" width="23.88671875" style="33" bestFit="1" customWidth="1"/>
    <col min="12" max="12" width="27.6640625" style="33" customWidth="1"/>
    <col min="13" max="13" width="23.44140625" style="33" bestFit="1" customWidth="1"/>
    <col min="14" max="14" width="22.88671875" style="33" customWidth="1"/>
    <col min="15" max="15" width="23.5546875" style="33" bestFit="1" customWidth="1"/>
    <col min="16" max="17" width="14.33203125" style="33" customWidth="1"/>
    <col min="18" max="18" width="22.33203125" style="33" customWidth="1"/>
    <col min="19" max="19" width="11.6640625" style="33" customWidth="1"/>
    <col min="20" max="20" width="18.6640625" style="33" customWidth="1"/>
    <col min="21" max="21" width="11.88671875" style="33" customWidth="1"/>
    <col min="22" max="22" width="13.5546875" style="33" customWidth="1"/>
    <col min="23" max="23" width="11" style="33" customWidth="1"/>
    <col min="24" max="24" width="14.88671875" style="33" customWidth="1"/>
    <col min="25" max="25" width="14.109375" style="33" customWidth="1"/>
    <col min="26" max="26" width="13.6640625" style="33" customWidth="1"/>
    <col min="27" max="27" width="9.109375" style="33"/>
    <col min="28" max="28" width="23.5546875" style="33" customWidth="1"/>
    <col min="29" max="29" width="16.33203125" style="33" bestFit="1" customWidth="1"/>
    <col min="30" max="30" width="15.109375" style="33" bestFit="1" customWidth="1"/>
    <col min="31" max="31" width="34.5546875" style="33" customWidth="1"/>
    <col min="32" max="32" width="38.33203125" style="33" customWidth="1"/>
    <col min="33" max="33" width="26.33203125" style="33" bestFit="1" customWidth="1"/>
    <col min="34" max="34" width="35.33203125" style="33" bestFit="1" customWidth="1"/>
    <col min="35" max="35" width="24.33203125" style="33" bestFit="1" customWidth="1"/>
    <col min="36" max="36" width="22.5546875" style="33" bestFit="1" customWidth="1"/>
    <col min="37" max="37" width="4.5546875" style="33" bestFit="1" customWidth="1"/>
    <col min="38" max="38" width="27.21875" style="33" bestFit="1" customWidth="1"/>
    <col min="39" max="39" width="27.44140625" style="33" customWidth="1"/>
    <col min="40" max="40" width="34.88671875" style="33" bestFit="1" customWidth="1"/>
    <col min="41" max="41" width="24.6640625" style="33" bestFit="1" customWidth="1"/>
    <col min="42" max="42" width="36.44140625" style="33" customWidth="1"/>
    <col min="43" max="43" width="20.44140625" style="33" customWidth="1"/>
    <col min="44" max="16384" width="9.109375" style="33"/>
  </cols>
  <sheetData>
    <row r="1" spans="1:41" ht="21" customHeight="1"/>
    <row r="2" spans="1:41" ht="32.4" customHeight="1" thickBot="1">
      <c r="Q2" s="379"/>
      <c r="R2" s="380"/>
      <c r="S2" s="380"/>
      <c r="T2" s="380"/>
      <c r="U2" s="380"/>
      <c r="V2" s="380"/>
      <c r="W2" s="380"/>
      <c r="X2" s="380"/>
      <c r="Y2" s="380"/>
      <c r="Z2" s="380"/>
      <c r="AE2" s="33" t="s">
        <v>632</v>
      </c>
      <c r="AF2" s="33" t="s">
        <v>709</v>
      </c>
      <c r="AG2" s="33" t="s">
        <v>710</v>
      </c>
      <c r="AH2" s="33" t="s">
        <v>633</v>
      </c>
      <c r="AL2" s="33" t="s">
        <v>634</v>
      </c>
      <c r="AM2" s="56" t="s">
        <v>711</v>
      </c>
      <c r="AN2" s="56" t="s">
        <v>712</v>
      </c>
      <c r="AO2" s="56" t="s">
        <v>713</v>
      </c>
    </row>
    <row r="3" spans="1:41" s="56" customFormat="1" ht="19.2" customHeight="1">
      <c r="B3" s="48" t="s">
        <v>34</v>
      </c>
      <c r="C3" s="48" t="s">
        <v>38</v>
      </c>
      <c r="D3" s="48" t="s">
        <v>39</v>
      </c>
      <c r="E3" s="48" t="s">
        <v>41</v>
      </c>
      <c r="F3" s="48" t="s">
        <v>42</v>
      </c>
      <c r="G3" s="48" t="s">
        <v>43</v>
      </c>
      <c r="H3" s="48" t="s">
        <v>44</v>
      </c>
      <c r="I3" s="48" t="s">
        <v>45</v>
      </c>
      <c r="J3" s="48" t="s">
        <v>40</v>
      </c>
      <c r="K3" s="91" t="s">
        <v>49</v>
      </c>
      <c r="L3" s="91" t="s">
        <v>50</v>
      </c>
      <c r="M3" s="91" t="s">
        <v>37</v>
      </c>
      <c r="N3" s="91" t="s">
        <v>37</v>
      </c>
      <c r="O3" s="91" t="s">
        <v>37</v>
      </c>
      <c r="Q3" s="91" t="s">
        <v>43</v>
      </c>
      <c r="R3" s="91" t="s">
        <v>51</v>
      </c>
      <c r="S3" s="91" t="s">
        <v>44</v>
      </c>
      <c r="T3" s="91" t="s">
        <v>45</v>
      </c>
      <c r="U3" s="91" t="s">
        <v>40</v>
      </c>
      <c r="V3" s="91" t="s">
        <v>52</v>
      </c>
      <c r="W3" s="91" t="s">
        <v>41</v>
      </c>
      <c r="X3" s="91" t="s">
        <v>39</v>
      </c>
      <c r="Y3" s="91" t="s">
        <v>38</v>
      </c>
      <c r="Z3" s="91" t="s">
        <v>34</v>
      </c>
      <c r="AB3" s="91" t="s">
        <v>53</v>
      </c>
      <c r="AC3" s="91" t="s">
        <v>54</v>
      </c>
      <c r="AD3" s="91" t="s">
        <v>55</v>
      </c>
      <c r="AE3" s="91" t="s">
        <v>56</v>
      </c>
      <c r="AF3" s="91" t="s">
        <v>57</v>
      </c>
      <c r="AG3" s="91" t="s">
        <v>58</v>
      </c>
      <c r="AH3" s="91" t="s">
        <v>59</v>
      </c>
      <c r="AI3" s="91" t="s">
        <v>60</v>
      </c>
      <c r="AJ3" s="91" t="s">
        <v>539</v>
      </c>
      <c r="AK3" s="91" t="s">
        <v>692</v>
      </c>
      <c r="AL3" s="265" t="s">
        <v>61</v>
      </c>
      <c r="AM3" s="268" t="s">
        <v>47</v>
      </c>
      <c r="AN3" s="271" t="s">
        <v>46</v>
      </c>
      <c r="AO3" s="255" t="s">
        <v>48</v>
      </c>
    </row>
    <row r="4" spans="1:41" ht="24.6">
      <c r="B4" s="325" t="s">
        <v>19</v>
      </c>
      <c r="C4" s="325" t="s">
        <v>11</v>
      </c>
      <c r="D4" s="325" t="s">
        <v>12</v>
      </c>
      <c r="E4" s="325" t="s">
        <v>13</v>
      </c>
      <c r="F4" s="325" t="s">
        <v>14</v>
      </c>
      <c r="G4" s="325" t="s">
        <v>15</v>
      </c>
      <c r="H4" s="325" t="s">
        <v>16</v>
      </c>
      <c r="I4" s="325" t="s">
        <v>17</v>
      </c>
      <c r="J4" s="325" t="s">
        <v>18</v>
      </c>
      <c r="K4" s="325" t="s">
        <v>2</v>
      </c>
      <c r="L4" s="325" t="s">
        <v>3</v>
      </c>
      <c r="M4" s="325" t="s">
        <v>518</v>
      </c>
      <c r="N4" s="325" t="s">
        <v>519</v>
      </c>
      <c r="O4" s="325" t="s">
        <v>4</v>
      </c>
      <c r="Q4" s="60" t="s">
        <v>25</v>
      </c>
      <c r="R4" s="60" t="s">
        <v>32</v>
      </c>
      <c r="S4" s="60" t="s">
        <v>26</v>
      </c>
      <c r="T4" s="60" t="s">
        <v>1</v>
      </c>
      <c r="U4" s="60" t="s">
        <v>27</v>
      </c>
      <c r="V4" s="60" t="s">
        <v>28</v>
      </c>
      <c r="W4" s="60" t="s">
        <v>31</v>
      </c>
      <c r="X4" s="60" t="s">
        <v>30</v>
      </c>
      <c r="Y4" s="60" t="s">
        <v>20</v>
      </c>
      <c r="Z4" s="60" t="s">
        <v>29</v>
      </c>
      <c r="AB4" s="240" t="s">
        <v>691</v>
      </c>
      <c r="AC4" s="240" t="s">
        <v>5</v>
      </c>
      <c r="AD4" s="240" t="s">
        <v>635</v>
      </c>
      <c r="AE4" s="240" t="s">
        <v>6</v>
      </c>
      <c r="AF4" s="240" t="s">
        <v>636</v>
      </c>
      <c r="AG4" s="240" t="s">
        <v>67</v>
      </c>
      <c r="AH4" s="240" t="s">
        <v>7</v>
      </c>
      <c r="AI4" s="240" t="s">
        <v>509</v>
      </c>
      <c r="AJ4" s="240" t="s">
        <v>654</v>
      </c>
      <c r="AK4" s="240" t="s">
        <v>692</v>
      </c>
      <c r="AL4" s="266" t="s">
        <v>8</v>
      </c>
      <c r="AM4" s="326" t="s">
        <v>749</v>
      </c>
      <c r="AN4" s="327" t="s">
        <v>9</v>
      </c>
      <c r="AO4" s="328" t="s">
        <v>10</v>
      </c>
    </row>
    <row r="5" spans="1:41" ht="28.95" customHeight="1">
      <c r="A5" s="89" t="s">
        <v>605</v>
      </c>
      <c r="B5" s="78">
        <f>Z5+273.15</f>
        <v>308.84999999999997</v>
      </c>
      <c r="C5" s="78">
        <f>Y5</f>
        <v>44.8</v>
      </c>
      <c r="D5" s="89">
        <f>X5</f>
        <v>65</v>
      </c>
      <c r="E5" s="89">
        <f>W5</f>
        <v>10</v>
      </c>
      <c r="F5" s="89">
        <f>R5/100</f>
        <v>0.63</v>
      </c>
      <c r="G5" s="89">
        <f>Q5/100</f>
        <v>0</v>
      </c>
      <c r="H5" s="89">
        <f t="shared" ref="H5:J5" si="0">S5/100</f>
        <v>0.3</v>
      </c>
      <c r="I5" s="89">
        <f t="shared" si="0"/>
        <v>0.37</v>
      </c>
      <c r="J5" s="89">
        <f t="shared" si="0"/>
        <v>0.1</v>
      </c>
      <c r="K5" s="88">
        <f>AN5</f>
        <v>5.3247396861372396</v>
      </c>
      <c r="L5" s="88">
        <f>AM5</f>
        <v>492.66193803198365</v>
      </c>
      <c r="M5" s="90">
        <f>IF((D5&gt;0),(AO5))</f>
        <v>398.38934217449673</v>
      </c>
      <c r="N5" s="90" t="b">
        <f>IF((D5=0),(L5))</f>
        <v>0</v>
      </c>
      <c r="O5" s="90">
        <f>M5+N5</f>
        <v>398.38934217449673</v>
      </c>
      <c r="Q5" s="89">
        <f>'Energy Budget'!S5</f>
        <v>0</v>
      </c>
      <c r="R5" s="89">
        <f>'Energy Budget'!R5</f>
        <v>63</v>
      </c>
      <c r="S5" s="89">
        <f>'Energy Budget'!T5</f>
        <v>30</v>
      </c>
      <c r="T5" s="89">
        <f>'Energy Budget'!K5</f>
        <v>37</v>
      </c>
      <c r="U5" s="90">
        <f>'Energy Budget'!P5</f>
        <v>10</v>
      </c>
      <c r="V5" s="88">
        <v>1.7453293000000002E-2</v>
      </c>
      <c r="W5" s="90">
        <f>'Energy Budget'!Q5</f>
        <v>10</v>
      </c>
      <c r="X5" s="90">
        <f>'Energy Budget'!O5</f>
        <v>65</v>
      </c>
      <c r="Y5" s="78">
        <f>'Energy Budget'!N5</f>
        <v>44.8</v>
      </c>
      <c r="Z5" s="89">
        <f>'Energy Budget'!D5</f>
        <v>35.700000000000003</v>
      </c>
      <c r="AB5" s="88">
        <f>(E5*C5/100)</f>
        <v>4.4800000000000004</v>
      </c>
      <c r="AC5" s="88">
        <f>E5/100</f>
        <v>0.1</v>
      </c>
      <c r="AD5" s="88">
        <f>D5*V5</f>
        <v>1.1344640450000001</v>
      </c>
      <c r="AE5" s="88">
        <f>(1.2*((0.0000000567)*(B5^4)))-171</f>
        <v>448.09133799952667</v>
      </c>
      <c r="AF5" s="88">
        <f>((1-AC5)*C5)/(TAN(AD5))</f>
        <v>18.801523245105031</v>
      </c>
      <c r="AG5" s="88">
        <f>AF5/AK5</f>
        <v>5.9847107234498358</v>
      </c>
      <c r="AH5" s="88">
        <f>0.98*(0.0000000567*(B5^4))*(1-J5)</f>
        <v>455.03213342965216</v>
      </c>
      <c r="AI5" s="88">
        <f>(C5*F5*H5)/2+((C5*F5*(Q5/100))/2/AK5)</f>
        <v>4.2335999999999991</v>
      </c>
      <c r="AJ5" s="90">
        <f>(('&lt;&lt;COMFA Questionaire&gt;&gt;'!$D$27*('&lt;&lt;COMFA Questionaire&gt;&gt;'!$D$29*100))/3600)^0.5</f>
        <v>1.9094065395649333</v>
      </c>
      <c r="AK5" s="90">
        <v>3.1415926540000001</v>
      </c>
      <c r="AL5" s="267">
        <f>0.98*(0.0000000567*(B5^4))</f>
        <v>505.59125936628016</v>
      </c>
      <c r="AM5" s="269">
        <f>(((AH5+(J5*AE5))*0.5)+(AL5*0.5))*0.98</f>
        <v>492.66193803198365</v>
      </c>
      <c r="AN5" s="272">
        <f>(((AG5*F5)+(J5*AB5)+AB5*(1-J5)*G5)+(AI5))*(1-I5)</f>
        <v>5.3247396861372396</v>
      </c>
      <c r="AO5" s="274">
        <f>((AN5+AM5)*0.8)</f>
        <v>398.38934217449673</v>
      </c>
    </row>
    <row r="6" spans="1:41" ht="27.75" customHeight="1">
      <c r="A6" s="89" t="s">
        <v>701</v>
      </c>
      <c r="B6" s="78">
        <f>Z6+273.15</f>
        <v>308.84999999999997</v>
      </c>
      <c r="C6" s="78">
        <f>Y6</f>
        <v>44.8</v>
      </c>
      <c r="D6" s="89">
        <f>D5</f>
        <v>65</v>
      </c>
      <c r="E6" s="89">
        <f>W6</f>
        <v>10</v>
      </c>
      <c r="F6" s="89">
        <f>R6/100</f>
        <v>0.63</v>
      </c>
      <c r="G6" s="89">
        <f>Q6/100</f>
        <v>0</v>
      </c>
      <c r="H6" s="89">
        <f t="shared" ref="H6:J6" si="1">S6/100</f>
        <v>0.3</v>
      </c>
      <c r="I6" s="89">
        <f t="shared" si="1"/>
        <v>0.37</v>
      </c>
      <c r="J6" s="89">
        <f t="shared" si="1"/>
        <v>0.1</v>
      </c>
      <c r="K6" s="88">
        <f>AN6</f>
        <v>5.0963309382322848</v>
      </c>
      <c r="L6" s="88">
        <f>AM6</f>
        <v>492.66193803198365</v>
      </c>
      <c r="M6" s="90">
        <f>IF((D6&gt;0),(AO6))</f>
        <v>398.20661517617276</v>
      </c>
      <c r="N6" s="90" t="b">
        <f>IF((D6=0),(L6))</f>
        <v>0</v>
      </c>
      <c r="O6" s="90">
        <f>M6+N6</f>
        <v>398.20661517617276</v>
      </c>
      <c r="Q6" s="89">
        <f>'Energy Budget'!S6</f>
        <v>0</v>
      </c>
      <c r="R6" s="89">
        <f>'Energy Budget'!R6</f>
        <v>63</v>
      </c>
      <c r="S6" s="89">
        <f>'Energy Budget'!T6</f>
        <v>30</v>
      </c>
      <c r="T6" s="89">
        <f>'Energy Budget'!K6</f>
        <v>37</v>
      </c>
      <c r="U6" s="90">
        <f>'Energy Budget'!P6</f>
        <v>10</v>
      </c>
      <c r="V6" s="88">
        <v>1.7453293000000002E-2</v>
      </c>
      <c r="W6" s="90">
        <f>'Energy Budget'!Q6</f>
        <v>10</v>
      </c>
      <c r="X6" s="90">
        <f>'Energy Budget'!O6</f>
        <v>65</v>
      </c>
      <c r="Y6" s="89">
        <f>'Energy Budget'!N6</f>
        <v>44.8</v>
      </c>
      <c r="Z6" s="89">
        <f>'Energy Budget'!D6</f>
        <v>35.700000000000003</v>
      </c>
      <c r="AB6" s="88">
        <f>(E6*C6/100)</f>
        <v>4.4800000000000004</v>
      </c>
      <c r="AC6" s="88">
        <f>E6/100</f>
        <v>0.1</v>
      </c>
      <c r="AD6" s="88">
        <f>D6*V6</f>
        <v>1.1344640450000001</v>
      </c>
      <c r="AE6" s="88">
        <f>(1.2*((0.0000000567)*(B6^4)))-171</f>
        <v>448.09133799952667</v>
      </c>
      <c r="AF6" s="88">
        <f>((1-AC6)*C6)/(TAN(AD6))</f>
        <v>18.801523245105031</v>
      </c>
      <c r="AG6" s="88">
        <f>(AF6/AK6)*AJ6/2</f>
        <v>5.71362289637975</v>
      </c>
      <c r="AH6" s="88">
        <f>0.98*(0.0000000567*(B6^4))*(1-J6)</f>
        <v>455.03213342965216</v>
      </c>
      <c r="AI6" s="88">
        <f>((C6*F6*H6)/2+((C6*F6*(Q6/100))/2/AK6))*AJ6/2</f>
        <v>4.0418317629510501</v>
      </c>
      <c r="AJ6" s="90">
        <f>(('&lt;&lt;COMFA Questionaire&gt;&gt;'!$D$27*('&lt;&lt;COMFA Questionaire&gt;&gt;'!$D$29*100))/3600)^0.5</f>
        <v>1.9094065395649333</v>
      </c>
      <c r="AK6" s="90">
        <v>3.1415926540000001</v>
      </c>
      <c r="AL6" s="267">
        <f>0.98*(0.0000000567*(B6^4))</f>
        <v>505.59125936628016</v>
      </c>
      <c r="AM6" s="269">
        <f>(((AH6+(J6*AE6))*0.5)+(AL6*0.5))*0.98</f>
        <v>492.66193803198365</v>
      </c>
      <c r="AN6" s="272">
        <f>(((AG6*F6)+(J6*AB6)+AB6*(1-J6)*G6)+(AI6))*(1-I6)</f>
        <v>5.0963309382322848</v>
      </c>
      <c r="AO6" s="274">
        <f>((AN6+AM6)*0.8)</f>
        <v>398.20661517617276</v>
      </c>
    </row>
    <row r="7" spans="1:41" ht="27.75" customHeight="1">
      <c r="A7" s="89" t="s">
        <v>606</v>
      </c>
      <c r="B7" s="78">
        <f>Z7+273.15</f>
        <v>308.84999999999997</v>
      </c>
      <c r="C7" s="78">
        <f>Y7</f>
        <v>44.8</v>
      </c>
      <c r="D7" s="89">
        <f>D6</f>
        <v>65</v>
      </c>
      <c r="E7" s="89">
        <f>W7</f>
        <v>10</v>
      </c>
      <c r="F7" s="89">
        <f>R7/100</f>
        <v>1</v>
      </c>
      <c r="G7" s="89">
        <f>Q7/100</f>
        <v>0</v>
      </c>
      <c r="H7" s="89">
        <f t="shared" ref="H7:H8" si="2">S7/100</f>
        <v>0.3</v>
      </c>
      <c r="I7" s="89">
        <f t="shared" ref="I7:I8" si="3">T7/100</f>
        <v>0.37</v>
      </c>
      <c r="J7" s="89">
        <f t="shared" ref="J7:J8" si="4">U7/100</f>
        <v>0.1</v>
      </c>
      <c r="K7" s="88">
        <f>AN7</f>
        <v>8.2862077557733969</v>
      </c>
      <c r="L7" s="88">
        <f>AM7</f>
        <v>492.66193803198365</v>
      </c>
      <c r="M7" s="90">
        <f>IF((D7&gt;0),(AO7))</f>
        <v>400.75851663020563</v>
      </c>
      <c r="N7" s="90" t="b">
        <f>IF((D7=0),(L7))</f>
        <v>0</v>
      </c>
      <c r="O7" s="90">
        <f>M7+N7</f>
        <v>400.75851663020563</v>
      </c>
      <c r="Q7" s="89">
        <f>'Energy Budget'!S7</f>
        <v>0</v>
      </c>
      <c r="R7" s="89">
        <f>'Energy Budget'!R7</f>
        <v>100</v>
      </c>
      <c r="S7" s="89">
        <f>'Energy Budget'!T7</f>
        <v>30</v>
      </c>
      <c r="T7" s="89">
        <f>'Energy Budget'!K7</f>
        <v>37</v>
      </c>
      <c r="U7" s="90">
        <f>'Energy Budget'!P7</f>
        <v>10</v>
      </c>
      <c r="V7" s="88">
        <v>1.7453293000000002E-2</v>
      </c>
      <c r="W7" s="90">
        <f>'Energy Budget'!Q7</f>
        <v>10</v>
      </c>
      <c r="X7" s="90">
        <f>'Energy Budget'!O7</f>
        <v>65</v>
      </c>
      <c r="Y7" s="89">
        <f>'Energy Budget'!N7</f>
        <v>44.8</v>
      </c>
      <c r="Z7" s="89">
        <f>'Energy Budget'!D7</f>
        <v>35.700000000000003</v>
      </c>
      <c r="AB7" s="88">
        <f>(E7*C7/100)</f>
        <v>4.4800000000000004</v>
      </c>
      <c r="AC7" s="88">
        <f>E7/100</f>
        <v>0.1</v>
      </c>
      <c r="AD7" s="88">
        <f>D7*V7</f>
        <v>1.1344640450000001</v>
      </c>
      <c r="AE7" s="88">
        <f>(1.2*((0.0000000567)*(B7^4)))-171</f>
        <v>448.09133799952667</v>
      </c>
      <c r="AF7" s="88">
        <f>((1-AC7)*C7)/(TAN(AD7))</f>
        <v>18.801523245105031</v>
      </c>
      <c r="AG7" s="88">
        <f>AF7/AK7</f>
        <v>5.9847107234498358</v>
      </c>
      <c r="AH7" s="88">
        <f>0.98*(0.0000000567*(B7^4))*(1-J7)</f>
        <v>455.03213342965216</v>
      </c>
      <c r="AI7" s="88">
        <f>(C7*F7*H7)/2+((C7*F7*(Q7/100))/2/AK7)</f>
        <v>6.72</v>
      </c>
      <c r="AJ7" s="90">
        <f>(('&lt;&lt;COMFA Questionaire&gt;&gt;'!$D$27*('&lt;&lt;COMFA Questionaire&gt;&gt;'!$D$29*100))/3600)^0.5</f>
        <v>1.9094065395649333</v>
      </c>
      <c r="AK7" s="90">
        <v>3.1415926540000001</v>
      </c>
      <c r="AL7" s="267">
        <f>0.98*(0.0000000567*(B7^4))</f>
        <v>505.59125936628016</v>
      </c>
      <c r="AM7" s="269">
        <f>(((AH7+(J7*AE7))*0.5)+(AL7*0.5))*0.98</f>
        <v>492.66193803198365</v>
      </c>
      <c r="AN7" s="272">
        <f>(((AG7*F7)+(J7*AB7)+AB7*(1-J7)*G7)+(AI7))*(1-I7)</f>
        <v>8.2862077557733969</v>
      </c>
      <c r="AO7" s="274">
        <f>((AN7+AM7)*0.8)</f>
        <v>400.75851663020563</v>
      </c>
    </row>
    <row r="8" spans="1:41" ht="27.75" customHeight="1" thickBot="1">
      <c r="A8" s="89" t="s">
        <v>702</v>
      </c>
      <c r="B8" s="78">
        <f>Z8+273.15</f>
        <v>308.84999999999997</v>
      </c>
      <c r="C8" s="78">
        <f>Y8</f>
        <v>44.8</v>
      </c>
      <c r="D8" s="89">
        <f>D7</f>
        <v>65</v>
      </c>
      <c r="E8" s="89">
        <f>W8</f>
        <v>10</v>
      </c>
      <c r="F8" s="89">
        <f>R8/100</f>
        <v>1</v>
      </c>
      <c r="G8" s="89">
        <f>Q8/100</f>
        <v>0</v>
      </c>
      <c r="H8" s="89">
        <f t="shared" si="2"/>
        <v>0.3</v>
      </c>
      <c r="I8" s="89">
        <f t="shared" si="3"/>
        <v>0.37</v>
      </c>
      <c r="J8" s="89">
        <f t="shared" si="4"/>
        <v>0.1</v>
      </c>
      <c r="K8" s="88">
        <f>AN8</f>
        <v>7.9236541876702935</v>
      </c>
      <c r="L8" s="88">
        <f>AM8</f>
        <v>492.66193803198365</v>
      </c>
      <c r="M8" s="90">
        <f>IF((D8&gt;0),(AO8))</f>
        <v>400.46847377572317</v>
      </c>
      <c r="N8" s="90" t="b">
        <f>IF((D8=0),(L8))</f>
        <v>0</v>
      </c>
      <c r="O8" s="90">
        <f>M8+N8</f>
        <v>400.46847377572317</v>
      </c>
      <c r="Q8" s="89">
        <f>'Energy Budget'!S8</f>
        <v>0</v>
      </c>
      <c r="R8" s="89">
        <f>'Energy Budget'!R8</f>
        <v>100</v>
      </c>
      <c r="S8" s="89">
        <f>'Energy Budget'!T8</f>
        <v>30</v>
      </c>
      <c r="T8" s="89">
        <f>'Energy Budget'!K8</f>
        <v>37</v>
      </c>
      <c r="U8" s="90">
        <f>'Energy Budget'!P8</f>
        <v>10</v>
      </c>
      <c r="V8" s="88">
        <v>1.7453293000000002E-2</v>
      </c>
      <c r="W8" s="90">
        <f>'Energy Budget'!Q8</f>
        <v>10</v>
      </c>
      <c r="X8" s="90">
        <f>'Energy Budget'!O8</f>
        <v>65</v>
      </c>
      <c r="Y8" s="89">
        <f>'Energy Budget'!N8</f>
        <v>44.8</v>
      </c>
      <c r="Z8" s="89">
        <f>'Energy Budget'!D8</f>
        <v>35.700000000000003</v>
      </c>
      <c r="AB8" s="88">
        <f>(E8*C8/100)</f>
        <v>4.4800000000000004</v>
      </c>
      <c r="AC8" s="88">
        <f>E8/100</f>
        <v>0.1</v>
      </c>
      <c r="AD8" s="88">
        <f>D8*V8</f>
        <v>1.1344640450000001</v>
      </c>
      <c r="AE8" s="88">
        <f>(1.2*((0.0000000567)*(B8^4)))-171</f>
        <v>448.09133799952667</v>
      </c>
      <c r="AF8" s="88">
        <f>((1-AC8)*C8)/(TAN(AD8))</f>
        <v>18.801523245105031</v>
      </c>
      <c r="AG8" s="88">
        <f>(AF8/AK8)*AJ8/2</f>
        <v>5.71362289637975</v>
      </c>
      <c r="AH8" s="88">
        <f>0.98*(0.0000000567*(B8^4))*(1-J8)</f>
        <v>455.03213342965216</v>
      </c>
      <c r="AI8" s="88">
        <f>((C8*F8*H8)/2+((C8*F8*(Q8/100))/2/AK8))*AJ8/2</f>
        <v>6.4156059729381756</v>
      </c>
      <c r="AJ8" s="90">
        <f>(('&lt;&lt;COMFA Questionaire&gt;&gt;'!$D$27*('&lt;&lt;COMFA Questionaire&gt;&gt;'!$D$29*100))/3600)^0.5</f>
        <v>1.9094065395649333</v>
      </c>
      <c r="AK8" s="90">
        <v>3.1415926540000001</v>
      </c>
      <c r="AL8" s="267">
        <f>0.98*(0.0000000567*(B8^4))</f>
        <v>505.59125936628016</v>
      </c>
      <c r="AM8" s="270">
        <f>(((AH8+(J8*AE8))*0.5)+(AL8*0.5))*0.98</f>
        <v>492.66193803198365</v>
      </c>
      <c r="AN8" s="273">
        <f>(((AG8*F8)+(J8*AB8)+AB8*(1-J8)*G8)+(AI8))*(1-I8)</f>
        <v>7.9236541876702935</v>
      </c>
      <c r="AO8" s="275">
        <f>((AN8+AM8)*0.8)</f>
        <v>400.46847377572317</v>
      </c>
    </row>
  </sheetData>
  <customSheetViews>
    <customSheetView guid="{0A510603-FE9B-4CD5-A4D2-8C62E5448D4B}" scale="75" fitToPage="1" showRuler="0" topLeftCell="M1">
      <pane xSplit="13.238938053097344" topLeftCell="AJ1" activePane="topRight"/>
      <selection pane="topRight" activeCell="AG4" sqref="AG4:AG185"/>
      <pageMargins left="0.75" right="0.75" top="1" bottom="1" header="0.5" footer="0.5"/>
      <pageSetup scale="37" orientation="landscape" r:id="rId1"/>
      <headerFooter alignWithMargins="0"/>
    </customSheetView>
    <customSheetView guid="{C2ED3EC0-A5A2-11D4-AD0B-005004AD6C46}" scale="75" fitToPage="1" showRuler="0">
      <pane xSplit="6" topLeftCell="AI1"/>
      <selection activeCell="B4" sqref="B4"/>
      <pageMargins left="0.75" right="0.75" top="1" bottom="1" header="0.5" footer="0.5"/>
      <pageSetup scale="86" orientation="landscape" r:id="rId2"/>
      <headerFooter alignWithMargins="0"/>
    </customSheetView>
    <customSheetView guid="{D174C659-3169-4E0A-9FBC-11FF945F8575}" scale="75" fitToPage="1" showRuler="0">
      <pane xSplit="5.9023668639053257" topLeftCell="AI1"/>
      <selection activeCell="B4" sqref="B4"/>
      <pageMargins left="0.75" right="0.75" top="1" bottom="1" header="0.5" footer="0.5"/>
      <pageSetup scale="86" orientation="landscape" r:id="rId3"/>
      <headerFooter alignWithMargins="0"/>
    </customSheetView>
    <customSheetView guid="{E8C32DA9-0164-4F67-B3EC-42FCEEB16D5C}" scale="75" fitToPage="1" showRuler="0" topLeftCell="G1">
      <pane xSplit="5.1081081081081079" topLeftCell="AJ1"/>
      <selection activeCell="J5" sqref="J5"/>
      <pageMargins left="0.75" right="0.75" top="1" bottom="1" header="0.5" footer="0.5"/>
      <pageSetup scale="37" orientation="landscape" r:id="rId4"/>
      <headerFooter alignWithMargins="0"/>
    </customSheetView>
    <customSheetView guid="{61DBA1B3-E59B-4919-9AAE-0AA2686EA6EF}" scale="75" showPageBreaks="1" fitToPage="1" printArea="1" showRuler="0" topLeftCell="M1">
      <pane xSplit="13.238938053097344" topLeftCell="D1"/>
      <selection activeCell="X25" sqref="M24:X25"/>
      <pageMargins left="0.75" right="0.75" top="1" bottom="1" header="0.5" footer="0.5"/>
      <pageSetup scale="37" orientation="landscape" r:id="rId5"/>
      <headerFooter alignWithMargins="0"/>
    </customSheetView>
    <customSheetView guid="{B8F7A2A6-ADDA-446E-A2E2-71D108D720EE}" scale="75" fitToPage="1" showRuler="0" topLeftCell="K1">
      <pane xSplit="12.819672131147541" topLeftCell="AJ1"/>
      <selection activeCell="AF3" sqref="AF3"/>
      <pageMargins left="0.75" right="0.75" top="1" bottom="1" header="0.5" footer="0.5"/>
      <pageSetup scale="35" orientation="landscape" r:id="rId6"/>
      <headerFooter alignWithMargins="0"/>
    </customSheetView>
    <customSheetView guid="{D2F15E24-6D0C-42A6-AC7E-867035E37C0D}" scale="75" showPageBreaks="1" fitToPage="1" printArea="1" showRuler="0" topLeftCell="G1">
      <pane xSplit="8.6875" topLeftCell="AJ1"/>
      <selection activeCell="J5" sqref="J5"/>
      <pageMargins left="0.75" right="0.75" top="1" bottom="1" header="0.5" footer="0.5"/>
      <pageSetup scale="37" orientation="landscape" r:id="rId7"/>
      <headerFooter alignWithMargins="0"/>
    </customSheetView>
    <customSheetView guid="{DEEDC23C-5E0A-459A-BE7F-FE8D0597CCC6}" scale="75" fitToPage="1" topLeftCell="D1">
      <pane xSplit="3.3063829787234043" topLeftCell="AD1" activePane="topRight"/>
      <selection pane="topRight" activeCell="AD6" sqref="AD6"/>
      <pageMargins left="0.75" right="0.75" top="1" bottom="1" header="0.5" footer="0.5"/>
      <pageSetup scale="37" orientation="landscape" r:id="rId8"/>
      <headerFooter alignWithMargins="0"/>
    </customSheetView>
  </customSheetViews>
  <mergeCells count="1">
    <mergeCell ref="Q2:Z2"/>
  </mergeCells>
  <phoneticPr fontId="0" type="noConversion"/>
  <pageMargins left="0.75" right="0.75" top="1" bottom="1" header="0.5" footer="0.5"/>
  <pageSetup scale="37" orientation="landscape" r:id="rId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F38"/>
  <sheetViews>
    <sheetView topLeftCell="N1" zoomScale="85" zoomScaleNormal="85" workbookViewId="0">
      <selection activeCell="W31" sqref="W31"/>
    </sheetView>
  </sheetViews>
  <sheetFormatPr defaultColWidth="8.88671875" defaultRowHeight="12.3"/>
  <cols>
    <col min="1" max="1" width="4.5546875" style="29" customWidth="1"/>
    <col min="2" max="2" width="9.109375" style="29" bestFit="1" customWidth="1"/>
    <col min="3" max="3" width="5.88671875" style="29" bestFit="1" customWidth="1"/>
    <col min="4" max="4" width="11.5546875" style="29" bestFit="1" customWidth="1"/>
    <col min="5" max="5" width="9.88671875" style="29" bestFit="1" customWidth="1"/>
    <col min="6" max="6" width="10.44140625" style="29" bestFit="1" customWidth="1"/>
    <col min="7" max="7" width="23.33203125" style="29" bestFit="1" customWidth="1"/>
    <col min="8" max="8" width="4.109375" style="29" customWidth="1"/>
    <col min="9" max="9" width="52.88671875" style="29" bestFit="1" customWidth="1"/>
    <col min="10" max="10" width="22.109375" style="29" bestFit="1" customWidth="1"/>
    <col min="11" max="11" width="11.109375" style="29" customWidth="1"/>
    <col min="12" max="12" width="30.33203125" style="29" bestFit="1" customWidth="1"/>
    <col min="13" max="13" width="34.6640625" style="29" customWidth="1"/>
    <col min="14" max="14" width="4.6640625" style="29" customWidth="1"/>
    <col min="15" max="15" width="13.44140625" style="29" bestFit="1" customWidth="1"/>
    <col min="16" max="16" width="18.5546875" style="29" bestFit="1" customWidth="1"/>
    <col min="17" max="17" width="23.33203125" style="29" bestFit="1" customWidth="1"/>
    <col min="18" max="18" width="12.5546875" style="29" bestFit="1" customWidth="1"/>
    <col min="19" max="19" width="13.33203125" style="29" bestFit="1" customWidth="1"/>
    <col min="20" max="20" width="8.88671875" style="29"/>
    <col min="21" max="21" width="38.44140625" style="29" customWidth="1"/>
    <col min="22" max="22" width="18.109375" style="29" customWidth="1"/>
    <col min="23" max="23" width="17.6640625" style="29" customWidth="1"/>
    <col min="24" max="24" width="15.44140625" style="29" customWidth="1"/>
    <col min="25" max="25" width="18.44140625" style="29" customWidth="1"/>
    <col min="26" max="26" width="20.6640625" style="29" customWidth="1"/>
    <col min="27" max="27" width="22.6640625" style="29" customWidth="1"/>
    <col min="28" max="28" width="31.33203125" style="29" customWidth="1"/>
    <col min="29" max="29" width="13.33203125" style="29" customWidth="1"/>
    <col min="30" max="30" width="11.33203125" style="29" customWidth="1"/>
    <col min="31" max="16384" width="8.88671875" style="29"/>
  </cols>
  <sheetData>
    <row r="1" spans="1:32" ht="31.95" customHeight="1" thickBot="1">
      <c r="L1" s="29" t="s">
        <v>568</v>
      </c>
    </row>
    <row r="2" spans="1:32" s="156" customFormat="1" ht="18.600000000000001" customHeight="1">
      <c r="B2" s="157" t="s">
        <v>534</v>
      </c>
      <c r="C2" s="158" t="s">
        <v>535</v>
      </c>
      <c r="D2" s="159" t="s">
        <v>536</v>
      </c>
      <c r="E2" s="160" t="s">
        <v>537</v>
      </c>
      <c r="F2" s="161" t="s">
        <v>538</v>
      </c>
      <c r="G2" s="162" t="s">
        <v>539</v>
      </c>
      <c r="H2" s="163"/>
      <c r="I2" s="191" t="s">
        <v>540</v>
      </c>
      <c r="J2" s="192" t="s">
        <v>541</v>
      </c>
      <c r="K2" s="164"/>
      <c r="L2" s="169" t="s">
        <v>542</v>
      </c>
      <c r="M2" s="169" t="s">
        <v>543</v>
      </c>
      <c r="N2" s="170"/>
      <c r="O2" s="171" t="s">
        <v>544</v>
      </c>
      <c r="P2" s="172" t="s">
        <v>544</v>
      </c>
      <c r="Q2" s="172" t="s">
        <v>544</v>
      </c>
      <c r="R2" s="172" t="s">
        <v>545</v>
      </c>
      <c r="S2" s="173" t="s">
        <v>546</v>
      </c>
      <c r="U2" s="165" t="s">
        <v>98</v>
      </c>
      <c r="V2" s="165" t="s">
        <v>193</v>
      </c>
      <c r="W2" s="165" t="s">
        <v>243</v>
      </c>
      <c r="X2" s="165" t="s">
        <v>244</v>
      </c>
      <c r="Z2" s="163"/>
      <c r="AA2" s="163"/>
      <c r="AB2" s="163"/>
      <c r="AC2" s="163"/>
      <c r="AD2" s="163"/>
      <c r="AE2" s="163"/>
      <c r="AF2" s="163"/>
    </row>
    <row r="3" spans="1:32" ht="12.6">
      <c r="B3" s="83" t="s">
        <v>547</v>
      </c>
      <c r="C3" s="78" t="s">
        <v>547</v>
      </c>
      <c r="D3" s="149" t="s">
        <v>548</v>
      </c>
      <c r="E3" s="151" t="s">
        <v>549</v>
      </c>
      <c r="F3" s="155" t="s">
        <v>550</v>
      </c>
      <c r="G3" s="153" t="s">
        <v>551</v>
      </c>
      <c r="H3" s="84"/>
      <c r="I3" s="97" t="s">
        <v>552</v>
      </c>
      <c r="J3" s="98" t="s">
        <v>552</v>
      </c>
      <c r="K3" s="79"/>
      <c r="L3" s="174" t="s">
        <v>553</v>
      </c>
      <c r="M3" s="174" t="s">
        <v>553</v>
      </c>
      <c r="N3" s="175"/>
      <c r="O3" s="176" t="s">
        <v>554</v>
      </c>
      <c r="P3" s="177" t="s">
        <v>555</v>
      </c>
      <c r="Q3" s="178" t="s">
        <v>556</v>
      </c>
      <c r="R3" s="178" t="s">
        <v>550</v>
      </c>
      <c r="S3" s="179" t="s">
        <v>556</v>
      </c>
      <c r="U3" s="52" t="s">
        <v>99</v>
      </c>
      <c r="V3" s="49">
        <v>50</v>
      </c>
      <c r="W3" s="50">
        <v>0</v>
      </c>
      <c r="X3" s="51">
        <f>W3/3.6</f>
        <v>0</v>
      </c>
    </row>
    <row r="4" spans="1:32" ht="23.4" customHeight="1">
      <c r="B4" s="83" t="s">
        <v>547</v>
      </c>
      <c r="C4" s="78" t="s">
        <v>547</v>
      </c>
      <c r="D4" s="149" t="s">
        <v>557</v>
      </c>
      <c r="E4" s="151" t="s">
        <v>558</v>
      </c>
      <c r="F4" s="155" t="s">
        <v>559</v>
      </c>
      <c r="G4" s="153" t="s">
        <v>618</v>
      </c>
      <c r="H4" s="84"/>
      <c r="I4" s="193" t="s">
        <v>615</v>
      </c>
      <c r="J4" s="194" t="s">
        <v>616</v>
      </c>
      <c r="K4" s="79"/>
      <c r="L4" s="174" t="s">
        <v>623</v>
      </c>
      <c r="M4" s="174" t="s">
        <v>624</v>
      </c>
      <c r="N4" s="175"/>
      <c r="O4" s="176" t="s">
        <v>560</v>
      </c>
      <c r="P4" s="177" t="s">
        <v>561</v>
      </c>
      <c r="Q4" s="178" t="s">
        <v>625</v>
      </c>
      <c r="R4" s="178" t="s">
        <v>562</v>
      </c>
      <c r="S4" s="179" t="s">
        <v>193</v>
      </c>
      <c r="U4" s="52" t="s">
        <v>100</v>
      </c>
      <c r="V4" s="49">
        <v>70</v>
      </c>
      <c r="W4" s="50">
        <v>0</v>
      </c>
      <c r="X4" s="51">
        <f t="shared" ref="X4:X26" si="0">W4/3.6</f>
        <v>0</v>
      </c>
    </row>
    <row r="5" spans="1:32" ht="22.2" customHeight="1" thickBot="1">
      <c r="A5" s="24"/>
      <c r="B5" s="85" t="str">
        <f>'&lt;&lt;COMFA Questionaire&gt;&gt;'!D33</f>
        <v>Male</v>
      </c>
      <c r="C5" s="86">
        <f>'&lt;&lt;COMFA Questionaire&gt;&gt;'!D31</f>
        <v>35</v>
      </c>
      <c r="D5" s="150">
        <f>'&lt;&lt;COMFA Questionaire&gt;&gt;'!D27</f>
        <v>75</v>
      </c>
      <c r="E5" s="152">
        <f>'&lt;&lt;COMFA Questionaire&gt;&gt;'!D29</f>
        <v>1.75</v>
      </c>
      <c r="F5" s="166">
        <f>D5/E5^2</f>
        <v>24.489795918367346</v>
      </c>
      <c r="G5" s="154">
        <f>((D5*(E5*100))/3600)^0.5</f>
        <v>1.9094065395649333</v>
      </c>
      <c r="H5" s="55"/>
      <c r="I5" s="99">
        <f>25.41*(F5)^-0.2115</f>
        <v>12.919160760355185</v>
      </c>
      <c r="J5" s="100">
        <f>21.09*(F5)^-0.1786</f>
        <v>11.912525110186403</v>
      </c>
      <c r="K5" s="80"/>
      <c r="L5" s="180">
        <f>293*(D5^0.433) - (5.92*C5)</f>
        <v>1692.8680155625098</v>
      </c>
      <c r="M5" s="180">
        <f>248*(D5^0.4356)-(5.09*C5)</f>
        <v>1448.2537506571755</v>
      </c>
      <c r="N5" s="181"/>
      <c r="O5" s="182">
        <f>IF((B5="male"),(L8*0.0484),(M8*0.0484))</f>
        <v>1.0924641593763396</v>
      </c>
      <c r="P5" s="183">
        <f>O5*D5</f>
        <v>81.934811953225463</v>
      </c>
      <c r="Q5" s="184">
        <f>P5/G5</f>
        <v>42.911140323157511</v>
      </c>
      <c r="R5" s="185">
        <f>U33/80</f>
        <v>1.45</v>
      </c>
      <c r="S5" s="186">
        <f>Q5*R5</f>
        <v>62.221153468578386</v>
      </c>
      <c r="U5" s="52" t="s">
        <v>101</v>
      </c>
      <c r="V5" s="49">
        <v>116</v>
      </c>
      <c r="W5" s="50">
        <v>0</v>
      </c>
      <c r="X5" s="51">
        <f t="shared" si="0"/>
        <v>0</v>
      </c>
      <c r="Z5" s="53"/>
      <c r="AA5" s="53"/>
      <c r="AB5" s="55"/>
      <c r="AC5" s="55"/>
      <c r="AD5" s="55"/>
    </row>
    <row r="6" spans="1:32" ht="12.9">
      <c r="A6" s="24"/>
      <c r="B6" s="53"/>
      <c r="C6" s="53"/>
      <c r="D6" s="53"/>
      <c r="E6" s="53"/>
      <c r="F6" s="55"/>
      <c r="G6" s="55"/>
      <c r="H6" s="55"/>
      <c r="I6" s="101" t="s">
        <v>565</v>
      </c>
      <c r="J6" s="102" t="s">
        <v>565</v>
      </c>
      <c r="K6" s="80"/>
      <c r="L6" s="187" t="s">
        <v>565</v>
      </c>
      <c r="M6" s="187" t="s">
        <v>565</v>
      </c>
      <c r="N6" s="181"/>
      <c r="O6" s="188"/>
      <c r="P6" s="188"/>
      <c r="Q6" s="188"/>
      <c r="R6" s="175"/>
      <c r="S6" s="188"/>
      <c r="U6" s="52" t="s">
        <v>102</v>
      </c>
      <c r="V6" s="49">
        <v>120</v>
      </c>
      <c r="W6" s="50">
        <v>0</v>
      </c>
      <c r="X6" s="51">
        <f t="shared" si="0"/>
        <v>0</v>
      </c>
    </row>
    <row r="7" spans="1:32" ht="12.9">
      <c r="A7" s="24"/>
      <c r="I7" s="193" t="s">
        <v>617</v>
      </c>
      <c r="J7" s="194" t="s">
        <v>617</v>
      </c>
      <c r="K7" s="81"/>
      <c r="L7" s="174" t="s">
        <v>626</v>
      </c>
      <c r="M7" s="174" t="s">
        <v>627</v>
      </c>
      <c r="N7" s="188"/>
      <c r="O7" s="175"/>
      <c r="P7" s="175"/>
      <c r="Q7" s="175"/>
      <c r="R7" s="175"/>
      <c r="S7" s="189"/>
      <c r="U7" s="52" t="s">
        <v>525</v>
      </c>
      <c r="V7" s="49">
        <v>192</v>
      </c>
      <c r="W7" s="50">
        <v>2.4</v>
      </c>
      <c r="X7" s="51">
        <f t="shared" si="0"/>
        <v>0.66666666666666663</v>
      </c>
    </row>
    <row r="8" spans="1:32" ht="23.4" customHeight="1" thickBot="1">
      <c r="I8" s="103">
        <f>I5*D5</f>
        <v>968.93705702663885</v>
      </c>
      <c r="J8" s="104">
        <f>J5*D5</f>
        <v>893.43938326398018</v>
      </c>
      <c r="K8" s="82"/>
      <c r="L8" s="190">
        <f>L5/D5</f>
        <v>22.571573540833462</v>
      </c>
      <c r="M8" s="190">
        <f>M5/D5</f>
        <v>19.310050008762339</v>
      </c>
      <c r="N8" s="175"/>
      <c r="O8" s="175"/>
      <c r="P8" s="175"/>
      <c r="Q8" s="175"/>
      <c r="R8" s="175"/>
      <c r="S8" s="175"/>
      <c r="U8" s="52" t="s">
        <v>103</v>
      </c>
      <c r="V8" s="49">
        <v>204</v>
      </c>
      <c r="W8" s="50">
        <f>5.2</f>
        <v>5.2</v>
      </c>
      <c r="X8" s="51">
        <f t="shared" si="0"/>
        <v>1.4444444444444444</v>
      </c>
    </row>
    <row r="9" spans="1:32">
      <c r="K9" s="24" t="s">
        <v>567</v>
      </c>
      <c r="L9" s="24"/>
      <c r="U9" s="52" t="s">
        <v>526</v>
      </c>
      <c r="V9" s="49">
        <v>221</v>
      </c>
      <c r="W9" s="50">
        <v>7</v>
      </c>
      <c r="X9" s="51">
        <f t="shared" si="0"/>
        <v>1.9444444444444444</v>
      </c>
    </row>
    <row r="10" spans="1:32" ht="13.8">
      <c r="K10" s="24"/>
      <c r="U10" s="52" t="s">
        <v>527</v>
      </c>
      <c r="V10" s="49">
        <v>349</v>
      </c>
      <c r="W10" s="50">
        <v>17.600000000000001</v>
      </c>
      <c r="X10" s="51">
        <f t="shared" si="0"/>
        <v>4.8888888888888893</v>
      </c>
    </row>
    <row r="11" spans="1:32" ht="14.1" thickBot="1">
      <c r="I11" s="29">
        <f>9.99*D5+6.25*E5*100-4.92*C5+5</f>
        <v>1675.8</v>
      </c>
      <c r="O11" s="70"/>
      <c r="U11" s="52" t="s">
        <v>528</v>
      </c>
      <c r="V11" s="49">
        <v>581</v>
      </c>
      <c r="W11" s="50">
        <v>24</v>
      </c>
      <c r="X11" s="51">
        <f t="shared" si="0"/>
        <v>6.6666666666666661</v>
      </c>
    </row>
    <row r="12" spans="1:32" ht="13.8">
      <c r="K12" s="201"/>
      <c r="L12" s="381" t="s">
        <v>622</v>
      </c>
      <c r="M12" s="381"/>
      <c r="N12" s="202"/>
      <c r="O12" s="202"/>
      <c r="P12" s="196"/>
      <c r="Q12" s="196"/>
      <c r="R12" s="196"/>
      <c r="S12" s="383">
        <f>O15*R5</f>
        <v>117.60534635416666</v>
      </c>
      <c r="U12" s="52" t="s">
        <v>529</v>
      </c>
      <c r="V12" s="49">
        <v>698</v>
      </c>
      <c r="W12" s="50">
        <f>(30.4+25.6)/2</f>
        <v>28</v>
      </c>
      <c r="X12" s="51">
        <f t="shared" si="0"/>
        <v>7.7777777777777777</v>
      </c>
    </row>
    <row r="13" spans="1:32">
      <c r="K13" s="203"/>
      <c r="L13" s="199" t="s">
        <v>628</v>
      </c>
      <c r="M13" s="199" t="s">
        <v>629</v>
      </c>
      <c r="N13" s="199"/>
      <c r="O13" s="61" t="s">
        <v>619</v>
      </c>
      <c r="P13" s="195"/>
      <c r="Q13" s="195"/>
      <c r="R13" s="195"/>
      <c r="S13" s="384"/>
      <c r="U13" s="52" t="s">
        <v>104</v>
      </c>
      <c r="V13" s="78">
        <v>145</v>
      </c>
      <c r="W13" s="50">
        <v>0</v>
      </c>
      <c r="X13" s="51">
        <f t="shared" si="0"/>
        <v>0</v>
      </c>
    </row>
    <row r="14" spans="1:32" ht="13.8">
      <c r="K14" s="204" t="s">
        <v>620</v>
      </c>
      <c r="L14" s="200">
        <f>10*D5+6.25*E5*100-5*C5+5</f>
        <v>1673.75</v>
      </c>
      <c r="M14" s="200">
        <f>9.99*D5+6.25*E5*100-4.92*C5-161</f>
        <v>1509.8</v>
      </c>
      <c r="N14" s="200"/>
      <c r="O14" s="200">
        <f>L14*1.163</f>
        <v>1946.57125</v>
      </c>
      <c r="P14" s="195"/>
      <c r="Q14" s="195"/>
      <c r="R14" s="195"/>
      <c r="S14" s="384"/>
      <c r="U14" s="52" t="s">
        <v>530</v>
      </c>
      <c r="V14" s="49">
        <v>523</v>
      </c>
      <c r="W14" s="50">
        <v>8.4</v>
      </c>
      <c r="X14" s="51">
        <f t="shared" si="0"/>
        <v>2.3333333333333335</v>
      </c>
    </row>
    <row r="15" spans="1:32" ht="14.1" thickBot="1">
      <c r="B15" s="73"/>
      <c r="C15" s="47"/>
      <c r="K15" s="205" t="s">
        <v>621</v>
      </c>
      <c r="L15" s="206">
        <f>L14/24</f>
        <v>69.739583333333329</v>
      </c>
      <c r="M15" s="206">
        <f>M14/24</f>
        <v>62.908333333333331</v>
      </c>
      <c r="N15" s="206"/>
      <c r="O15" s="207">
        <f>L15*1.163</f>
        <v>81.107135416666665</v>
      </c>
      <c r="P15" s="198"/>
      <c r="Q15" s="197"/>
      <c r="R15" s="197"/>
      <c r="S15" s="385"/>
      <c r="U15" s="52" t="s">
        <v>531</v>
      </c>
      <c r="V15" s="49">
        <v>670</v>
      </c>
      <c r="W15" s="50">
        <v>11.3</v>
      </c>
      <c r="X15" s="51">
        <f t="shared" si="0"/>
        <v>3.1388888888888888</v>
      </c>
    </row>
    <row r="16" spans="1:32" ht="13.8">
      <c r="D16" s="53"/>
      <c r="U16" s="52" t="s">
        <v>532</v>
      </c>
      <c r="V16" s="49">
        <v>814</v>
      </c>
      <c r="W16" s="50">
        <v>13.8</v>
      </c>
      <c r="X16" s="51">
        <f t="shared" si="0"/>
        <v>3.8333333333333335</v>
      </c>
    </row>
    <row r="17" spans="4:24">
      <c r="D17" s="53"/>
      <c r="U17" s="52" t="s">
        <v>105</v>
      </c>
      <c r="V17" s="49">
        <v>465.2</v>
      </c>
      <c r="W17" s="50">
        <v>15</v>
      </c>
      <c r="X17" s="51">
        <f t="shared" si="0"/>
        <v>4.166666666666667</v>
      </c>
    </row>
    <row r="18" spans="4:24">
      <c r="D18" s="53"/>
      <c r="U18" s="52" t="s">
        <v>106</v>
      </c>
      <c r="V18" s="49">
        <v>261.67500000000001</v>
      </c>
      <c r="W18" s="50">
        <v>2.4</v>
      </c>
      <c r="X18" s="51">
        <f t="shared" si="0"/>
        <v>0.66666666666666663</v>
      </c>
    </row>
    <row r="19" spans="4:24">
      <c r="D19" s="53"/>
      <c r="L19" s="382" t="s">
        <v>631</v>
      </c>
      <c r="M19" s="382"/>
      <c r="U19" s="52" t="s">
        <v>107</v>
      </c>
      <c r="V19" s="49">
        <v>465.2</v>
      </c>
      <c r="W19" s="50">
        <v>0</v>
      </c>
      <c r="X19" s="51">
        <f t="shared" si="0"/>
        <v>0</v>
      </c>
    </row>
    <row r="20" spans="4:24">
      <c r="D20" s="53"/>
      <c r="L20" s="29" t="s">
        <v>628</v>
      </c>
      <c r="M20" s="29" t="s">
        <v>629</v>
      </c>
      <c r="U20" s="52" t="s">
        <v>108</v>
      </c>
      <c r="V20" s="49">
        <v>261.67500000000001</v>
      </c>
      <c r="W20" s="50">
        <v>0</v>
      </c>
      <c r="X20" s="51">
        <f t="shared" si="0"/>
        <v>0</v>
      </c>
    </row>
    <row r="21" spans="4:24">
      <c r="K21" s="24" t="s">
        <v>620</v>
      </c>
      <c r="L21" s="29">
        <f>88.362+(13.397*D5)+(4.799*E5*100)-(5.677*C5)</f>
        <v>1734.2670000000001</v>
      </c>
      <c r="M21" s="29">
        <f>447.593+(9.247*D5)+(3.098*E5*100)-(4.33*C5)</f>
        <v>1531.7180000000001</v>
      </c>
      <c r="O21" s="167">
        <f>L21*1.163</f>
        <v>2016.9525210000002</v>
      </c>
      <c r="U21" s="52" t="s">
        <v>494</v>
      </c>
      <c r="V21" s="49">
        <v>581.5</v>
      </c>
      <c r="W21" s="50">
        <v>13</v>
      </c>
      <c r="X21" s="51">
        <f t="shared" si="0"/>
        <v>3.6111111111111112</v>
      </c>
    </row>
    <row r="22" spans="4:24">
      <c r="K22" s="24" t="s">
        <v>621</v>
      </c>
      <c r="L22" s="167">
        <f>L21/24</f>
        <v>72.261125000000007</v>
      </c>
      <c r="M22" s="167">
        <f>M21/24</f>
        <v>63.821583333333336</v>
      </c>
      <c r="O22" s="168">
        <f>L22*1.163</f>
        <v>84.039688375000011</v>
      </c>
      <c r="S22" s="168">
        <f>O22*R5</f>
        <v>121.85754814375001</v>
      </c>
      <c r="U22" s="52" t="s">
        <v>109</v>
      </c>
      <c r="V22" s="49">
        <v>581.5</v>
      </c>
      <c r="W22" s="50">
        <v>0</v>
      </c>
      <c r="X22" s="51">
        <f t="shared" si="0"/>
        <v>0</v>
      </c>
    </row>
    <row r="23" spans="4:24">
      <c r="U23" s="52" t="s">
        <v>110</v>
      </c>
      <c r="V23" s="49">
        <v>465.2</v>
      </c>
      <c r="W23" s="50">
        <v>0</v>
      </c>
      <c r="X23" s="51">
        <f t="shared" si="0"/>
        <v>0</v>
      </c>
    </row>
    <row r="24" spans="4:24">
      <c r="U24" s="52" t="s">
        <v>111</v>
      </c>
      <c r="V24" s="49">
        <v>319.82499999999999</v>
      </c>
      <c r="W24" s="50">
        <v>0</v>
      </c>
      <c r="X24" s="51">
        <f t="shared" si="0"/>
        <v>0</v>
      </c>
    </row>
    <row r="25" spans="4:24">
      <c r="L25" s="382" t="s">
        <v>630</v>
      </c>
      <c r="M25" s="382"/>
      <c r="U25" s="52" t="s">
        <v>112</v>
      </c>
      <c r="V25" s="49">
        <v>250.04499999999999</v>
      </c>
      <c r="W25" s="50">
        <v>0</v>
      </c>
      <c r="X25" s="51">
        <f t="shared" si="0"/>
        <v>0</v>
      </c>
    </row>
    <row r="26" spans="4:24">
      <c r="L26" s="29" t="s">
        <v>628</v>
      </c>
      <c r="M26" s="29" t="s">
        <v>629</v>
      </c>
      <c r="U26" s="52" t="s">
        <v>113</v>
      </c>
      <c r="V26" s="49">
        <v>600</v>
      </c>
      <c r="W26" s="50">
        <v>0</v>
      </c>
      <c r="X26" s="51">
        <f t="shared" si="0"/>
        <v>0</v>
      </c>
    </row>
    <row r="27" spans="4:24">
      <c r="K27" s="24" t="s">
        <v>620</v>
      </c>
      <c r="L27" s="29">
        <f>66.5+( 13.75*D5)+( 5.003*E5*100 )-( 6.755*C5)</f>
        <v>1736.8500000000001</v>
      </c>
      <c r="M27" s="29">
        <f xml:space="preserve"> 655.1+(9.563*D5)+(1.85*E5*100)-(4.676*C5)</f>
        <v>1532.415</v>
      </c>
      <c r="O27" s="167">
        <f>L27*1.163</f>
        <v>2019.9565500000001</v>
      </c>
    </row>
    <row r="28" spans="4:24">
      <c r="K28" s="24" t="s">
        <v>621</v>
      </c>
      <c r="L28" s="167">
        <f>L27/24</f>
        <v>72.368750000000006</v>
      </c>
      <c r="M28" s="167">
        <f>M27/24</f>
        <v>63.850625000000001</v>
      </c>
      <c r="O28" s="168">
        <f>L28*1.163</f>
        <v>84.164856250000014</v>
      </c>
      <c r="S28" s="168">
        <f>O28*R5</f>
        <v>122.03904156250002</v>
      </c>
    </row>
    <row r="30" spans="4:24">
      <c r="U30" s="23" t="s">
        <v>499</v>
      </c>
    </row>
    <row r="31" spans="4:24">
      <c r="U31" s="71" t="s">
        <v>245</v>
      </c>
      <c r="W31" s="72"/>
    </row>
    <row r="32" spans="4:24">
      <c r="U32" s="77" t="s">
        <v>198</v>
      </c>
      <c r="W32" s="54"/>
    </row>
    <row r="33" spans="21:23">
      <c r="U33" s="61">
        <f>INDEX(V3:V26,MATCH(CA,U3:U26,0))</f>
        <v>116</v>
      </c>
    </row>
    <row r="35" spans="21:23">
      <c r="W35" s="72"/>
    </row>
    <row r="36" spans="21:23">
      <c r="U36" s="72"/>
    </row>
    <row r="37" spans="21:23">
      <c r="U37" s="72"/>
    </row>
    <row r="38" spans="21:23">
      <c r="U38" s="72"/>
      <c r="W38" s="72"/>
    </row>
  </sheetData>
  <mergeCells count="4">
    <mergeCell ref="L12:M12"/>
    <mergeCell ref="L19:M19"/>
    <mergeCell ref="L25:M25"/>
    <mergeCell ref="S12:S15"/>
  </mergeCells>
  <phoneticPr fontId="74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K202"/>
  <sheetViews>
    <sheetView topLeftCell="N1" workbookViewId="0">
      <selection activeCell="AL7" sqref="AL7"/>
    </sheetView>
  </sheetViews>
  <sheetFormatPr defaultColWidth="8.88671875" defaultRowHeight="12.3"/>
  <cols>
    <col min="1" max="1" width="33.44140625" style="22" bestFit="1" customWidth="1"/>
    <col min="2" max="2" width="31.109375" style="22" customWidth="1"/>
    <col min="3" max="3" width="8.88671875" style="22"/>
    <col min="4" max="4" width="19.44140625" style="22" customWidth="1"/>
    <col min="5" max="5" width="12.6640625" style="22" customWidth="1"/>
    <col min="6" max="6" width="11" style="22" customWidth="1"/>
    <col min="7" max="7" width="18.109375" style="22" customWidth="1"/>
    <col min="8" max="8" width="31.33203125" style="22" customWidth="1"/>
    <col min="9" max="9" width="24.109375" style="22" customWidth="1"/>
    <col min="10" max="10" width="23.6640625" style="22" customWidth="1"/>
    <col min="11" max="11" width="16.44140625" style="22" customWidth="1"/>
    <col min="12" max="12" width="18.33203125" style="22" bestFit="1" customWidth="1"/>
    <col min="13" max="13" width="28.6640625" style="22" bestFit="1" customWidth="1"/>
    <col min="14" max="15" width="28.6640625" style="22" customWidth="1"/>
    <col min="16" max="16" width="22.44140625" style="22" customWidth="1"/>
    <col min="17" max="17" width="52.33203125" style="22" bestFit="1" customWidth="1"/>
    <col min="18" max="18" width="45.44140625" style="22" customWidth="1"/>
    <col min="19" max="19" width="17.5546875" style="22" customWidth="1"/>
    <col min="20" max="20" width="12.33203125" style="22" customWidth="1"/>
    <col min="21" max="21" width="11.33203125" style="22" customWidth="1"/>
    <col min="22" max="22" width="18.33203125" style="22" customWidth="1"/>
    <col min="23" max="23" width="18.5546875" style="22" customWidth="1"/>
    <col min="24" max="24" width="65.109375" style="22" customWidth="1"/>
    <col min="25" max="25" width="8.88671875" style="22"/>
    <col min="26" max="26" width="16.33203125" style="22" bestFit="1" customWidth="1"/>
    <col min="27" max="27" width="15" style="22" bestFit="1" customWidth="1"/>
    <col min="28" max="28" width="8" style="22" bestFit="1" customWidth="1"/>
    <col min="29" max="29" width="6.88671875" style="22" customWidth="1"/>
    <col min="30" max="30" width="19.6640625" style="22" customWidth="1"/>
    <col min="31" max="31" width="10.6640625" style="22" customWidth="1"/>
    <col min="32" max="32" width="11.109375" style="22" customWidth="1"/>
    <col min="33" max="34" width="11.6640625" style="22" customWidth="1"/>
    <col min="35" max="16384" width="8.88671875" style="22"/>
  </cols>
  <sheetData>
    <row r="1" spans="1:37" ht="19.95" customHeight="1">
      <c r="AE1" s="23" t="s">
        <v>538</v>
      </c>
    </row>
    <row r="2" spans="1:37" s="276" customFormat="1" ht="27.6" customHeight="1">
      <c r="B2" s="277" t="s">
        <v>74</v>
      </c>
      <c r="D2" s="277" t="s">
        <v>77</v>
      </c>
      <c r="E2" s="277" t="s">
        <v>79</v>
      </c>
      <c r="F2" s="277" t="s">
        <v>80</v>
      </c>
      <c r="G2" s="277" t="s">
        <v>93</v>
      </c>
      <c r="H2" s="277" t="s">
        <v>98</v>
      </c>
      <c r="I2" s="277" t="s">
        <v>114</v>
      </c>
      <c r="J2" s="277" t="s">
        <v>151</v>
      </c>
      <c r="K2" s="277" t="s">
        <v>185</v>
      </c>
      <c r="L2" s="277" t="s">
        <v>659</v>
      </c>
      <c r="M2" s="277" t="s">
        <v>661</v>
      </c>
      <c r="N2" s="277" t="s">
        <v>666</v>
      </c>
      <c r="O2" s="277" t="s">
        <v>667</v>
      </c>
      <c r="P2" s="277" t="s">
        <v>186</v>
      </c>
      <c r="Q2" s="278" t="s">
        <v>679</v>
      </c>
      <c r="R2" s="277" t="s">
        <v>187</v>
      </c>
      <c r="S2" s="277" t="s">
        <v>207</v>
      </c>
      <c r="T2" s="277" t="s">
        <v>215</v>
      </c>
      <c r="U2" s="277" t="s">
        <v>234</v>
      </c>
      <c r="V2" s="277" t="s">
        <v>218</v>
      </c>
      <c r="X2" s="277" t="s">
        <v>187</v>
      </c>
      <c r="Z2" s="277" t="s">
        <v>476</v>
      </c>
      <c r="AA2" s="277" t="s">
        <v>93</v>
      </c>
      <c r="AB2" s="277" t="s">
        <v>495</v>
      </c>
      <c r="AC2" s="277" t="s">
        <v>502</v>
      </c>
      <c r="AE2" s="277" t="s">
        <v>535</v>
      </c>
      <c r="AF2" s="277" t="s">
        <v>563</v>
      </c>
      <c r="AG2" s="277" t="s">
        <v>564</v>
      </c>
      <c r="AH2" s="277" t="s">
        <v>534</v>
      </c>
    </row>
    <row r="3" spans="1:37">
      <c r="A3" s="22" t="s">
        <v>577</v>
      </c>
      <c r="B3" s="279" t="s">
        <v>342</v>
      </c>
      <c r="D3" s="22" t="s">
        <v>78</v>
      </c>
      <c r="E3" s="22">
        <v>1</v>
      </c>
      <c r="F3" s="22" t="s">
        <v>81</v>
      </c>
      <c r="G3" s="22" t="s">
        <v>94</v>
      </c>
      <c r="H3" s="282" t="s">
        <v>99</v>
      </c>
      <c r="I3" s="44" t="s">
        <v>115</v>
      </c>
      <c r="J3" s="22" t="s">
        <v>152</v>
      </c>
      <c r="K3" s="22" t="s">
        <v>235</v>
      </c>
      <c r="L3" s="22" t="s">
        <v>660</v>
      </c>
      <c r="M3" s="22" t="s">
        <v>660</v>
      </c>
      <c r="N3" s="22" t="s">
        <v>660</v>
      </c>
      <c r="O3" s="22" t="s">
        <v>660</v>
      </c>
      <c r="P3" s="22" t="s">
        <v>252</v>
      </c>
      <c r="Q3" s="22" t="s">
        <v>680</v>
      </c>
      <c r="R3" s="44" t="s">
        <v>188</v>
      </c>
      <c r="S3" s="22" t="s">
        <v>208</v>
      </c>
      <c r="T3" s="22">
        <v>0</v>
      </c>
      <c r="U3" s="22" t="s">
        <v>232</v>
      </c>
      <c r="V3" s="22" t="s">
        <v>228</v>
      </c>
      <c r="X3" s="23" t="s">
        <v>224</v>
      </c>
      <c r="Z3" s="22" t="s">
        <v>477</v>
      </c>
      <c r="AA3" s="22" t="s">
        <v>241</v>
      </c>
      <c r="AB3" s="22" t="s">
        <v>497</v>
      </c>
      <c r="AC3" s="22" t="s">
        <v>503</v>
      </c>
      <c r="AE3" s="22">
        <v>1</v>
      </c>
      <c r="AF3" s="22">
        <v>1</v>
      </c>
      <c r="AG3" s="22">
        <v>0.01</v>
      </c>
      <c r="AH3" s="22" t="s">
        <v>503</v>
      </c>
    </row>
    <row r="4" spans="1:37" ht="16.95" customHeight="1">
      <c r="A4" s="22" t="s">
        <v>391</v>
      </c>
      <c r="B4" s="279" t="s">
        <v>386</v>
      </c>
      <c r="D4" s="22" t="s">
        <v>341</v>
      </c>
      <c r="E4" s="22">
        <v>2</v>
      </c>
      <c r="F4" s="22" t="s">
        <v>82</v>
      </c>
      <c r="G4" s="22" t="s">
        <v>231</v>
      </c>
      <c r="H4" s="282" t="s">
        <v>100</v>
      </c>
      <c r="I4" s="44" t="s">
        <v>116</v>
      </c>
      <c r="J4" s="22" t="s">
        <v>153</v>
      </c>
      <c r="K4" s="22" t="s">
        <v>162</v>
      </c>
      <c r="L4" s="22">
        <v>1</v>
      </c>
      <c r="M4" s="22" t="s">
        <v>662</v>
      </c>
      <c r="N4" s="22" t="s">
        <v>668</v>
      </c>
      <c r="O4" s="22">
        <v>0.1</v>
      </c>
      <c r="P4" s="22" t="s">
        <v>253</v>
      </c>
      <c r="Q4" s="22" t="s">
        <v>681</v>
      </c>
      <c r="R4" s="44" t="s">
        <v>206</v>
      </c>
      <c r="S4" s="22" t="s">
        <v>637</v>
      </c>
      <c r="T4" s="22">
        <v>10</v>
      </c>
      <c r="U4" s="22" t="s">
        <v>233</v>
      </c>
      <c r="V4" s="22">
        <v>-30</v>
      </c>
      <c r="X4" s="44" t="s">
        <v>268</v>
      </c>
      <c r="Z4" s="22" t="s">
        <v>505</v>
      </c>
      <c r="AA4" s="22" t="s">
        <v>242</v>
      </c>
      <c r="AB4" s="22" t="s">
        <v>498</v>
      </c>
      <c r="AC4" s="22" t="s">
        <v>504</v>
      </c>
      <c r="AE4" s="22">
        <v>2</v>
      </c>
      <c r="AF4" s="22">
        <v>2</v>
      </c>
      <c r="AG4" s="22">
        <v>0.02</v>
      </c>
      <c r="AH4" s="22" t="s">
        <v>504</v>
      </c>
    </row>
    <row r="5" spans="1:37" ht="36.9">
      <c r="A5" s="22" t="s">
        <v>577</v>
      </c>
      <c r="B5" s="279" t="s">
        <v>344</v>
      </c>
      <c r="D5" s="22" t="s">
        <v>340</v>
      </c>
      <c r="E5" s="22">
        <v>3</v>
      </c>
      <c r="F5" s="22" t="s">
        <v>83</v>
      </c>
      <c r="G5" s="22" t="s">
        <v>95</v>
      </c>
      <c r="H5" s="282" t="s">
        <v>101</v>
      </c>
      <c r="I5" s="44" t="s">
        <v>117</v>
      </c>
      <c r="J5" s="22" t="s">
        <v>154</v>
      </c>
      <c r="K5" s="22" t="s">
        <v>238</v>
      </c>
      <c r="L5" s="22">
        <v>2</v>
      </c>
      <c r="M5" s="22" t="s">
        <v>663</v>
      </c>
      <c r="N5" s="22" t="s">
        <v>669</v>
      </c>
      <c r="O5" s="22">
        <v>0.2</v>
      </c>
      <c r="P5" s="22" t="s">
        <v>254</v>
      </c>
      <c r="Q5" s="22" t="s">
        <v>682</v>
      </c>
      <c r="R5" s="44" t="s">
        <v>189</v>
      </c>
      <c r="S5" s="22" t="s">
        <v>209</v>
      </c>
      <c r="T5" s="22">
        <v>20</v>
      </c>
      <c r="V5" s="22">
        <v>-25</v>
      </c>
      <c r="X5" s="44" t="s">
        <v>269</v>
      </c>
      <c r="Z5" s="22" t="s">
        <v>506</v>
      </c>
      <c r="AA5" s="22" t="s">
        <v>493</v>
      </c>
      <c r="AE5" s="22">
        <v>3</v>
      </c>
      <c r="AF5" s="22">
        <v>3</v>
      </c>
      <c r="AG5" s="22">
        <v>0.03</v>
      </c>
    </row>
    <row r="6" spans="1:37" ht="24.6">
      <c r="A6" s="22" t="s">
        <v>395</v>
      </c>
      <c r="B6" s="279" t="s">
        <v>345</v>
      </c>
      <c r="E6" s="22">
        <v>4</v>
      </c>
      <c r="F6" s="22" t="s">
        <v>84</v>
      </c>
      <c r="G6" s="22" t="s">
        <v>96</v>
      </c>
      <c r="H6" s="282" t="s">
        <v>102</v>
      </c>
      <c r="I6" s="44" t="s">
        <v>118</v>
      </c>
      <c r="J6" s="22" t="s">
        <v>155</v>
      </c>
      <c r="K6" s="22" t="s">
        <v>163</v>
      </c>
      <c r="L6" s="22">
        <v>3</v>
      </c>
      <c r="M6" s="22" t="s">
        <v>664</v>
      </c>
      <c r="O6" s="22">
        <v>0.3</v>
      </c>
      <c r="P6" s="22" t="s">
        <v>255</v>
      </c>
      <c r="Q6" s="22" t="s">
        <v>237</v>
      </c>
      <c r="R6" s="44" t="s">
        <v>190</v>
      </c>
      <c r="T6" s="22">
        <v>30</v>
      </c>
      <c r="V6" s="22">
        <v>-20</v>
      </c>
      <c r="X6" s="44" t="s">
        <v>270</v>
      </c>
      <c r="Z6" s="22" t="s">
        <v>507</v>
      </c>
      <c r="AE6" s="22">
        <v>4</v>
      </c>
      <c r="AF6" s="22">
        <v>4</v>
      </c>
      <c r="AG6" s="22">
        <v>0.04</v>
      </c>
    </row>
    <row r="7" spans="1:37" ht="56.4" customHeight="1">
      <c r="A7" s="22" t="s">
        <v>577</v>
      </c>
      <c r="B7" s="279" t="s">
        <v>75</v>
      </c>
      <c r="E7" s="22">
        <v>5</v>
      </c>
      <c r="F7" s="22" t="s">
        <v>85</v>
      </c>
      <c r="G7" s="22" t="s">
        <v>97</v>
      </c>
      <c r="H7" s="282" t="s">
        <v>733</v>
      </c>
      <c r="I7" s="44" t="s">
        <v>119</v>
      </c>
      <c r="J7" s="22" t="s">
        <v>156</v>
      </c>
      <c r="K7" s="22" t="s">
        <v>164</v>
      </c>
      <c r="L7" s="22">
        <v>4</v>
      </c>
      <c r="O7" s="22">
        <v>0.4</v>
      </c>
      <c r="P7" s="22" t="s">
        <v>250</v>
      </c>
      <c r="Q7" s="22" t="s">
        <v>683</v>
      </c>
      <c r="R7" s="44" t="s">
        <v>191</v>
      </c>
      <c r="S7" s="22" t="s">
        <v>510</v>
      </c>
      <c r="T7" s="22">
        <v>40</v>
      </c>
      <c r="V7" s="22">
        <v>-15</v>
      </c>
      <c r="X7" s="44" t="s">
        <v>271</v>
      </c>
      <c r="Z7" s="22" t="s">
        <v>478</v>
      </c>
      <c r="AE7" s="22">
        <v>5</v>
      </c>
      <c r="AF7" s="22">
        <v>5</v>
      </c>
      <c r="AG7" s="22">
        <v>0.05</v>
      </c>
    </row>
    <row r="8" spans="1:37">
      <c r="A8" s="22" t="s">
        <v>577</v>
      </c>
      <c r="B8" s="279" t="s">
        <v>520</v>
      </c>
      <c r="E8" s="22">
        <v>6</v>
      </c>
      <c r="F8" s="22" t="s">
        <v>86</v>
      </c>
      <c r="H8" s="282" t="s">
        <v>103</v>
      </c>
      <c r="I8" s="44" t="s">
        <v>120</v>
      </c>
      <c r="J8" s="22" t="s">
        <v>157</v>
      </c>
      <c r="K8" s="22" t="s">
        <v>165</v>
      </c>
      <c r="L8" s="22">
        <v>5</v>
      </c>
      <c r="O8" s="22">
        <v>0.5</v>
      </c>
      <c r="P8" s="22" t="s">
        <v>251</v>
      </c>
      <c r="Q8" s="22" t="s">
        <v>684</v>
      </c>
      <c r="R8" s="44" t="s">
        <v>192</v>
      </c>
      <c r="S8" s="22" t="s">
        <v>512</v>
      </c>
      <c r="T8" s="22">
        <v>50</v>
      </c>
      <c r="V8" s="22">
        <v>-10</v>
      </c>
      <c r="X8" s="44" t="s">
        <v>272</v>
      </c>
      <c r="Z8" s="22" t="s">
        <v>479</v>
      </c>
      <c r="AE8" s="22">
        <v>6</v>
      </c>
      <c r="AF8" s="22">
        <v>6</v>
      </c>
      <c r="AG8" s="22">
        <v>0.06</v>
      </c>
    </row>
    <row r="9" spans="1:37">
      <c r="A9" s="22" t="s">
        <v>398</v>
      </c>
      <c r="B9" s="279" t="s">
        <v>346</v>
      </c>
      <c r="E9" s="22">
        <v>7</v>
      </c>
      <c r="F9" s="22" t="s">
        <v>87</v>
      </c>
      <c r="H9" s="282" t="s">
        <v>734</v>
      </c>
      <c r="I9" s="44" t="s">
        <v>121</v>
      </c>
      <c r="J9" s="22" t="s">
        <v>158</v>
      </c>
      <c r="K9" s="22" t="s">
        <v>166</v>
      </c>
      <c r="L9" s="22">
        <v>6</v>
      </c>
      <c r="O9" s="22">
        <v>0.6</v>
      </c>
      <c r="P9" s="22" t="s">
        <v>256</v>
      </c>
      <c r="Q9" s="22" t="s">
        <v>685</v>
      </c>
      <c r="S9" s="22" t="s">
        <v>511</v>
      </c>
      <c r="T9" s="22">
        <v>60</v>
      </c>
      <c r="V9" s="22">
        <v>-5</v>
      </c>
      <c r="X9" s="44"/>
      <c r="Z9" s="22" t="s">
        <v>480</v>
      </c>
      <c r="AE9" s="22">
        <v>7</v>
      </c>
      <c r="AF9" s="22">
        <v>7</v>
      </c>
      <c r="AG9" s="22">
        <v>7.0000000000000007E-2</v>
      </c>
    </row>
    <row r="10" spans="1:37" ht="15" customHeight="1">
      <c r="A10" s="22" t="s">
        <v>400</v>
      </c>
      <c r="B10" s="279" t="s">
        <v>282</v>
      </c>
      <c r="E10" s="22">
        <v>8</v>
      </c>
      <c r="F10" s="22" t="s">
        <v>88</v>
      </c>
      <c r="G10" s="23" t="s">
        <v>236</v>
      </c>
      <c r="H10" s="282" t="s">
        <v>735</v>
      </c>
      <c r="I10" s="44" t="s">
        <v>122</v>
      </c>
      <c r="J10" s="22" t="s">
        <v>159</v>
      </c>
      <c r="K10" s="22" t="s">
        <v>167</v>
      </c>
      <c r="L10" s="22">
        <v>7</v>
      </c>
      <c r="O10" s="22">
        <v>0.7</v>
      </c>
      <c r="S10" s="22" t="s">
        <v>513</v>
      </c>
      <c r="T10" s="22">
        <v>70</v>
      </c>
      <c r="V10" s="22">
        <v>0</v>
      </c>
      <c r="X10" s="87" t="s">
        <v>76</v>
      </c>
      <c r="AE10" s="22">
        <v>8</v>
      </c>
      <c r="AF10" s="22">
        <v>8</v>
      </c>
      <c r="AG10" s="22">
        <v>0.08</v>
      </c>
    </row>
    <row r="11" spans="1:37" ht="15" customHeight="1">
      <c r="A11" s="22" t="s">
        <v>402</v>
      </c>
      <c r="B11" s="279" t="s">
        <v>347</v>
      </c>
      <c r="E11" s="22">
        <v>9</v>
      </c>
      <c r="F11" s="22" t="s">
        <v>89</v>
      </c>
      <c r="G11" s="22" t="s">
        <v>247</v>
      </c>
      <c r="H11" s="282" t="s">
        <v>736</v>
      </c>
      <c r="I11" s="44" t="s">
        <v>123</v>
      </c>
      <c r="J11" s="22" t="s">
        <v>160</v>
      </c>
      <c r="K11" s="22" t="s">
        <v>168</v>
      </c>
      <c r="L11" s="22">
        <v>8</v>
      </c>
      <c r="O11" s="22">
        <v>0.8</v>
      </c>
      <c r="T11" s="22">
        <v>80</v>
      </c>
      <c r="V11" s="22">
        <v>5</v>
      </c>
      <c r="X11" s="44" t="s">
        <v>273</v>
      </c>
      <c r="AE11" s="22">
        <v>9</v>
      </c>
      <c r="AF11" s="22">
        <v>9</v>
      </c>
      <c r="AG11" s="22">
        <v>0.09</v>
      </c>
    </row>
    <row r="12" spans="1:37" ht="14.25" customHeight="1">
      <c r="A12" s="22" t="s">
        <v>404</v>
      </c>
      <c r="B12" s="279" t="s">
        <v>348</v>
      </c>
      <c r="E12" s="22">
        <v>10</v>
      </c>
      <c r="F12" s="22" t="s">
        <v>90</v>
      </c>
      <c r="G12" s="22" t="s">
        <v>94</v>
      </c>
      <c r="H12" s="282" t="s">
        <v>737</v>
      </c>
      <c r="I12" s="44" t="s">
        <v>124</v>
      </c>
      <c r="J12" s="22" t="s">
        <v>161</v>
      </c>
      <c r="K12" s="22" t="s">
        <v>169</v>
      </c>
      <c r="L12" s="22">
        <v>9</v>
      </c>
      <c r="O12" s="22">
        <v>0.9</v>
      </c>
      <c r="T12" s="22">
        <v>90</v>
      </c>
      <c r="V12" s="22">
        <v>10</v>
      </c>
      <c r="X12" s="44" t="s">
        <v>274</v>
      </c>
      <c r="AE12" s="22">
        <v>10</v>
      </c>
      <c r="AF12" s="22">
        <v>10</v>
      </c>
      <c r="AG12" s="22">
        <v>0.1</v>
      </c>
    </row>
    <row r="13" spans="1:37">
      <c r="A13" s="22" t="s">
        <v>402</v>
      </c>
      <c r="B13" s="279" t="s">
        <v>349</v>
      </c>
      <c r="E13" s="22">
        <v>11</v>
      </c>
      <c r="F13" s="22" t="s">
        <v>91</v>
      </c>
      <c r="G13" s="22" t="s">
        <v>248</v>
      </c>
      <c r="H13" s="282" t="s">
        <v>104</v>
      </c>
      <c r="I13" s="44" t="s">
        <v>125</v>
      </c>
      <c r="K13" s="22" t="s">
        <v>170</v>
      </c>
      <c r="L13" s="22">
        <v>10</v>
      </c>
      <c r="O13" s="22">
        <v>1</v>
      </c>
      <c r="T13" s="22">
        <v>100</v>
      </c>
      <c r="V13" s="22">
        <v>15</v>
      </c>
      <c r="X13" s="44" t="s">
        <v>275</v>
      </c>
      <c r="AE13" s="22">
        <v>11</v>
      </c>
      <c r="AF13" s="22">
        <v>11</v>
      </c>
      <c r="AG13" s="22">
        <v>0.11</v>
      </c>
    </row>
    <row r="14" spans="1:37" ht="13.8">
      <c r="B14" s="279" t="s">
        <v>350</v>
      </c>
      <c r="E14" s="22">
        <v>12</v>
      </c>
      <c r="F14" s="22" t="s">
        <v>92</v>
      </c>
      <c r="G14" s="22" t="s">
        <v>249</v>
      </c>
      <c r="H14" s="282" t="s">
        <v>738</v>
      </c>
      <c r="I14" s="44" t="s">
        <v>126</v>
      </c>
      <c r="K14" s="22" t="s">
        <v>171</v>
      </c>
      <c r="L14" s="22">
        <v>11</v>
      </c>
      <c r="O14" s="22">
        <v>1.1000000000000001</v>
      </c>
      <c r="V14" s="22">
        <v>20</v>
      </c>
      <c r="X14" s="44" t="s">
        <v>276</v>
      </c>
      <c r="AE14" s="22">
        <v>12</v>
      </c>
      <c r="AF14" s="22">
        <v>12</v>
      </c>
      <c r="AG14" s="22">
        <v>0.12</v>
      </c>
      <c r="AK14" s="23"/>
    </row>
    <row r="15" spans="1:37" ht="14.25" customHeight="1">
      <c r="A15" s="22" t="s">
        <v>395</v>
      </c>
      <c r="B15" s="279" t="s">
        <v>351</v>
      </c>
      <c r="E15" s="22">
        <v>13</v>
      </c>
      <c r="G15" s="22" t="s">
        <v>237</v>
      </c>
      <c r="H15" s="282" t="s">
        <v>739</v>
      </c>
      <c r="I15" s="44" t="s">
        <v>127</v>
      </c>
      <c r="K15" s="22" t="s">
        <v>172</v>
      </c>
      <c r="L15" s="22">
        <v>12</v>
      </c>
      <c r="O15" s="22">
        <v>1.2</v>
      </c>
      <c r="V15" s="22">
        <v>25</v>
      </c>
      <c r="X15" s="44" t="s">
        <v>277</v>
      </c>
      <c r="AE15" s="22">
        <v>13</v>
      </c>
      <c r="AF15" s="22">
        <v>13</v>
      </c>
      <c r="AG15" s="22">
        <v>0.13</v>
      </c>
      <c r="AK15" s="23"/>
    </row>
    <row r="16" spans="1:37" ht="14.25" customHeight="1">
      <c r="B16" s="279" t="s">
        <v>352</v>
      </c>
      <c r="E16" s="22">
        <v>14</v>
      </c>
      <c r="H16" s="282" t="s">
        <v>740</v>
      </c>
      <c r="I16" s="44" t="s">
        <v>128</v>
      </c>
      <c r="K16" s="22" t="s">
        <v>173</v>
      </c>
      <c r="L16" s="22">
        <v>13</v>
      </c>
      <c r="O16" s="22">
        <v>1.3</v>
      </c>
      <c r="V16" s="22">
        <v>30</v>
      </c>
      <c r="X16" s="44" t="s">
        <v>278</v>
      </c>
      <c r="AE16" s="22">
        <v>14</v>
      </c>
      <c r="AF16" s="22">
        <v>14</v>
      </c>
      <c r="AG16" s="22">
        <v>0.14000000000000001</v>
      </c>
      <c r="AK16" s="23"/>
    </row>
    <row r="17" spans="2:37">
      <c r="B17" s="279" t="s">
        <v>353</v>
      </c>
      <c r="E17" s="22">
        <v>15</v>
      </c>
      <c r="G17" s="23" t="s">
        <v>239</v>
      </c>
      <c r="H17" s="282" t="s">
        <v>105</v>
      </c>
      <c r="I17" s="44" t="s">
        <v>129</v>
      </c>
      <c r="K17" s="22" t="s">
        <v>174</v>
      </c>
      <c r="L17" s="22">
        <v>14</v>
      </c>
      <c r="O17" s="22">
        <v>1.4</v>
      </c>
      <c r="X17" s="44" t="s">
        <v>279</v>
      </c>
      <c r="AE17" s="22">
        <v>15</v>
      </c>
      <c r="AF17" s="22">
        <v>15</v>
      </c>
      <c r="AG17" s="22">
        <v>0.15</v>
      </c>
      <c r="AK17" s="23"/>
    </row>
    <row r="18" spans="2:37" ht="16.5" customHeight="1">
      <c r="B18" s="279" t="s">
        <v>354</v>
      </c>
      <c r="E18" s="22">
        <v>16</v>
      </c>
      <c r="G18" s="22" t="s">
        <v>240</v>
      </c>
      <c r="H18" s="282" t="s">
        <v>106</v>
      </c>
      <c r="I18" s="44" t="s">
        <v>130</v>
      </c>
      <c r="K18" s="22" t="s">
        <v>175</v>
      </c>
      <c r="L18" s="22">
        <v>15</v>
      </c>
      <c r="O18" s="22">
        <v>1.5</v>
      </c>
      <c r="X18" s="44"/>
      <c r="AE18" s="22">
        <v>16</v>
      </c>
      <c r="AF18" s="22">
        <v>16</v>
      </c>
      <c r="AG18" s="22">
        <v>0.16</v>
      </c>
    </row>
    <row r="19" spans="2:37">
      <c r="B19" s="279" t="s">
        <v>355</v>
      </c>
      <c r="E19" s="22">
        <v>17</v>
      </c>
      <c r="G19" s="22" t="s">
        <v>242</v>
      </c>
      <c r="H19" s="282" t="s">
        <v>107</v>
      </c>
      <c r="I19" s="44" t="s">
        <v>131</v>
      </c>
      <c r="K19" s="22" t="s">
        <v>176</v>
      </c>
      <c r="L19" s="22">
        <v>16</v>
      </c>
      <c r="O19" s="22">
        <v>1.6</v>
      </c>
      <c r="X19" s="87" t="s">
        <v>290</v>
      </c>
      <c r="AE19" s="22">
        <v>17</v>
      </c>
      <c r="AF19" s="22">
        <v>17</v>
      </c>
      <c r="AG19" s="22">
        <v>0.17</v>
      </c>
    </row>
    <row r="20" spans="2:37">
      <c r="B20" s="44" t="s">
        <v>566</v>
      </c>
      <c r="E20" s="22">
        <v>18</v>
      </c>
      <c r="G20" s="22" t="s">
        <v>241</v>
      </c>
      <c r="H20" s="282" t="s">
        <v>108</v>
      </c>
      <c r="I20" s="44" t="s">
        <v>132</v>
      </c>
      <c r="K20" s="22" t="s">
        <v>230</v>
      </c>
      <c r="L20" s="22">
        <v>17</v>
      </c>
      <c r="O20" s="22">
        <v>1.7</v>
      </c>
      <c r="X20" s="283" t="s">
        <v>188</v>
      </c>
      <c r="AE20" s="22">
        <v>18</v>
      </c>
      <c r="AF20" s="22">
        <v>18</v>
      </c>
      <c r="AG20" s="22">
        <v>0.18</v>
      </c>
    </row>
    <row r="21" spans="2:37">
      <c r="B21" s="44" t="s">
        <v>357</v>
      </c>
      <c r="E21" s="22">
        <v>19</v>
      </c>
      <c r="H21" s="282" t="s">
        <v>494</v>
      </c>
      <c r="I21" s="44" t="s">
        <v>133</v>
      </c>
      <c r="K21" s="22" t="s">
        <v>177</v>
      </c>
      <c r="L21" s="22">
        <v>18</v>
      </c>
      <c r="O21" s="22">
        <v>1.8</v>
      </c>
      <c r="X21" s="283" t="s">
        <v>206</v>
      </c>
      <c r="AE21" s="22">
        <v>19</v>
      </c>
      <c r="AF21" s="22">
        <v>19</v>
      </c>
      <c r="AG21" s="22">
        <v>0.19</v>
      </c>
    </row>
    <row r="22" spans="2:37">
      <c r="B22" s="44" t="s">
        <v>358</v>
      </c>
      <c r="E22" s="22">
        <v>20</v>
      </c>
      <c r="H22" s="282" t="s">
        <v>109</v>
      </c>
      <c r="I22" s="44" t="s">
        <v>134</v>
      </c>
      <c r="K22" s="22" t="s">
        <v>178</v>
      </c>
      <c r="L22" s="22">
        <v>19</v>
      </c>
      <c r="O22" s="22">
        <v>1.9</v>
      </c>
      <c r="X22" s="283" t="s">
        <v>189</v>
      </c>
      <c r="AE22" s="22">
        <v>20</v>
      </c>
      <c r="AF22" s="22">
        <v>20</v>
      </c>
      <c r="AG22" s="22">
        <v>0.2</v>
      </c>
    </row>
    <row r="23" spans="2:37">
      <c r="B23" s="44" t="s">
        <v>359</v>
      </c>
      <c r="E23" s="22">
        <v>21</v>
      </c>
      <c r="H23" s="282" t="s">
        <v>110</v>
      </c>
      <c r="I23" s="44" t="s">
        <v>135</v>
      </c>
      <c r="K23" s="22" t="s">
        <v>179</v>
      </c>
      <c r="L23" s="22">
        <v>20</v>
      </c>
      <c r="O23" s="22">
        <v>2</v>
      </c>
      <c r="X23" s="283" t="s">
        <v>190</v>
      </c>
      <c r="AE23" s="22">
        <v>21</v>
      </c>
      <c r="AF23" s="22">
        <v>21</v>
      </c>
      <c r="AG23" s="22">
        <v>0.21</v>
      </c>
    </row>
    <row r="24" spans="2:37">
      <c r="B24" s="279" t="s">
        <v>360</v>
      </c>
      <c r="E24" s="22">
        <v>22</v>
      </c>
      <c r="H24" s="282" t="s">
        <v>111</v>
      </c>
      <c r="I24" s="44" t="s">
        <v>136</v>
      </c>
      <c r="K24" s="22" t="s">
        <v>180</v>
      </c>
      <c r="O24" s="22">
        <v>2.1</v>
      </c>
      <c r="X24" s="283" t="s">
        <v>191</v>
      </c>
      <c r="AE24" s="22">
        <v>22</v>
      </c>
      <c r="AF24" s="22">
        <v>22</v>
      </c>
      <c r="AG24" s="22">
        <v>0.22</v>
      </c>
    </row>
    <row r="25" spans="2:37">
      <c r="B25" s="279" t="s">
        <v>361</v>
      </c>
      <c r="E25" s="22">
        <v>23</v>
      </c>
      <c r="H25" s="282" t="s">
        <v>112</v>
      </c>
      <c r="I25" s="44" t="s">
        <v>137</v>
      </c>
      <c r="K25" s="22" t="s">
        <v>181</v>
      </c>
      <c r="O25" s="22">
        <v>2.2000000000000002</v>
      </c>
      <c r="X25" s="283" t="s">
        <v>192</v>
      </c>
      <c r="AE25" s="22">
        <v>23</v>
      </c>
      <c r="AF25" s="22">
        <v>23</v>
      </c>
      <c r="AG25" s="22">
        <v>0.23</v>
      </c>
    </row>
    <row r="26" spans="2:37" ht="14.25" customHeight="1">
      <c r="B26" s="279" t="s">
        <v>362</v>
      </c>
      <c r="E26" s="22">
        <v>24</v>
      </c>
      <c r="H26" s="282" t="s">
        <v>113</v>
      </c>
      <c r="I26" s="44" t="s">
        <v>138</v>
      </c>
      <c r="K26" s="22" t="s">
        <v>182</v>
      </c>
      <c r="O26" s="22">
        <v>2.2999999999999998</v>
      </c>
      <c r="X26" s="283" t="s">
        <v>467</v>
      </c>
      <c r="AE26" s="22">
        <v>24</v>
      </c>
      <c r="AF26" s="22">
        <v>24</v>
      </c>
      <c r="AG26" s="22">
        <v>0.24</v>
      </c>
    </row>
    <row r="27" spans="2:37">
      <c r="B27" s="279" t="s">
        <v>363</v>
      </c>
      <c r="I27" s="44" t="s">
        <v>139</v>
      </c>
      <c r="K27" s="22" t="s">
        <v>183</v>
      </c>
      <c r="O27" s="22">
        <v>2.4</v>
      </c>
      <c r="X27" s="283" t="s">
        <v>468</v>
      </c>
      <c r="AE27" s="22">
        <v>25</v>
      </c>
      <c r="AF27" s="22">
        <v>25</v>
      </c>
      <c r="AG27" s="22">
        <v>0.25</v>
      </c>
    </row>
    <row r="28" spans="2:37">
      <c r="B28" s="279" t="s">
        <v>364</v>
      </c>
      <c r="I28" s="44" t="s">
        <v>140</v>
      </c>
      <c r="K28" s="22" t="s">
        <v>184</v>
      </c>
      <c r="O28" s="22">
        <v>2.5</v>
      </c>
      <c r="X28" s="283" t="s">
        <v>469</v>
      </c>
      <c r="AE28" s="22">
        <v>26</v>
      </c>
      <c r="AF28" s="22">
        <v>26</v>
      </c>
      <c r="AG28" s="22">
        <v>0.26</v>
      </c>
    </row>
    <row r="29" spans="2:37">
      <c r="B29" s="279" t="s">
        <v>365</v>
      </c>
      <c r="H29" s="23" t="s">
        <v>514</v>
      </c>
      <c r="I29" s="44" t="s">
        <v>141</v>
      </c>
      <c r="K29" s="44" t="s">
        <v>482</v>
      </c>
      <c r="L29" s="44"/>
      <c r="M29" s="44"/>
      <c r="N29" s="44"/>
      <c r="O29" s="22">
        <v>2.6</v>
      </c>
      <c r="X29" s="283" t="s">
        <v>470</v>
      </c>
      <c r="AE29" s="22">
        <v>27</v>
      </c>
      <c r="AF29" s="22">
        <v>27</v>
      </c>
      <c r="AG29" s="22">
        <v>0.27</v>
      </c>
    </row>
    <row r="30" spans="2:37">
      <c r="B30" s="279" t="s">
        <v>366</v>
      </c>
      <c r="H30" s="22" t="s">
        <v>515</v>
      </c>
      <c r="I30" s="44" t="s">
        <v>142</v>
      </c>
      <c r="K30" s="44" t="s">
        <v>483</v>
      </c>
      <c r="L30" s="44"/>
      <c r="M30" s="44"/>
      <c r="N30" s="44"/>
      <c r="O30" s="22">
        <v>2.7</v>
      </c>
      <c r="X30" s="283" t="s">
        <v>471</v>
      </c>
      <c r="AE30" s="22">
        <v>28</v>
      </c>
      <c r="AF30" s="22">
        <v>28</v>
      </c>
      <c r="AG30" s="22">
        <v>0.28000000000000003</v>
      </c>
    </row>
    <row r="31" spans="2:37" ht="13.2" customHeight="1">
      <c r="B31" s="279" t="s">
        <v>367</v>
      </c>
      <c r="H31" s="22" t="s">
        <v>516</v>
      </c>
      <c r="I31" s="44" t="s">
        <v>143</v>
      </c>
      <c r="K31" s="44" t="s">
        <v>484</v>
      </c>
      <c r="L31" s="44"/>
      <c r="M31" s="44"/>
      <c r="N31" s="44"/>
      <c r="O31" s="22">
        <v>2.8</v>
      </c>
      <c r="X31" s="44" t="s">
        <v>280</v>
      </c>
      <c r="AE31" s="22">
        <v>29</v>
      </c>
      <c r="AF31" s="22">
        <v>29</v>
      </c>
      <c r="AG31" s="22">
        <v>0.28999999999999998</v>
      </c>
    </row>
    <row r="32" spans="2:37" ht="19.5" customHeight="1">
      <c r="B32" s="44" t="s">
        <v>368</v>
      </c>
      <c r="H32" s="22" t="s">
        <v>517</v>
      </c>
      <c r="I32" s="44" t="s">
        <v>144</v>
      </c>
      <c r="K32" s="44" t="s">
        <v>485</v>
      </c>
      <c r="L32" s="44"/>
      <c r="M32" s="44"/>
      <c r="N32" s="44"/>
      <c r="O32" s="22">
        <v>2.9</v>
      </c>
      <c r="X32" s="44" t="s">
        <v>281</v>
      </c>
      <c r="AE32" s="22">
        <v>30</v>
      </c>
      <c r="AF32" s="22">
        <v>30</v>
      </c>
      <c r="AG32" s="22">
        <v>0.3</v>
      </c>
    </row>
    <row r="33" spans="2:33" ht="15" customHeight="1">
      <c r="B33" s="44" t="s">
        <v>369</v>
      </c>
      <c r="I33" s="44" t="s">
        <v>145</v>
      </c>
      <c r="K33" s="22" t="s">
        <v>229</v>
      </c>
      <c r="O33" s="22">
        <v>3</v>
      </c>
      <c r="X33" s="44" t="s">
        <v>295</v>
      </c>
      <c r="AE33" s="22">
        <v>31</v>
      </c>
      <c r="AF33" s="22">
        <v>31</v>
      </c>
      <c r="AG33" s="22">
        <v>0.31</v>
      </c>
    </row>
    <row r="34" spans="2:33">
      <c r="B34" s="280" t="s">
        <v>370</v>
      </c>
      <c r="I34" s="44" t="s">
        <v>146</v>
      </c>
      <c r="O34" s="22">
        <v>3.1</v>
      </c>
      <c r="X34" s="44"/>
      <c r="AE34" s="22">
        <v>32</v>
      </c>
      <c r="AF34" s="22">
        <v>32</v>
      </c>
      <c r="AG34" s="22">
        <v>0.32</v>
      </c>
    </row>
    <row r="35" spans="2:33">
      <c r="B35" s="279" t="s">
        <v>371</v>
      </c>
      <c r="I35" s="44" t="s">
        <v>147</v>
      </c>
      <c r="K35" s="23" t="s">
        <v>212</v>
      </c>
      <c r="L35" s="23"/>
      <c r="M35" s="23"/>
      <c r="N35" s="23"/>
      <c r="O35" s="22">
        <v>3.2</v>
      </c>
      <c r="X35" s="87" t="s">
        <v>282</v>
      </c>
      <c r="AE35" s="22">
        <v>33</v>
      </c>
      <c r="AF35" s="22">
        <v>33</v>
      </c>
      <c r="AG35" s="22">
        <v>0.33</v>
      </c>
    </row>
    <row r="36" spans="2:33">
      <c r="B36" s="280" t="s">
        <v>372</v>
      </c>
      <c r="I36" s="44" t="s">
        <v>148</v>
      </c>
      <c r="K36" s="22" t="s">
        <v>213</v>
      </c>
      <c r="O36" s="22">
        <v>3.3</v>
      </c>
      <c r="X36" s="44" t="s">
        <v>283</v>
      </c>
      <c r="AE36" s="22">
        <v>34</v>
      </c>
      <c r="AF36" s="22">
        <v>34</v>
      </c>
      <c r="AG36" s="22">
        <v>0.34</v>
      </c>
    </row>
    <row r="37" spans="2:33">
      <c r="B37" s="280" t="s">
        <v>373</v>
      </c>
      <c r="I37" s="44" t="s">
        <v>149</v>
      </c>
      <c r="K37" s="22" t="s">
        <v>214</v>
      </c>
      <c r="O37" s="22">
        <v>3.4</v>
      </c>
      <c r="X37" s="44" t="s">
        <v>284</v>
      </c>
      <c r="AE37" s="22">
        <v>35</v>
      </c>
      <c r="AF37" s="22">
        <v>35</v>
      </c>
      <c r="AG37" s="22">
        <v>0.35</v>
      </c>
    </row>
    <row r="38" spans="2:33">
      <c r="B38" s="280" t="s">
        <v>374</v>
      </c>
      <c r="I38" s="44" t="s">
        <v>150</v>
      </c>
      <c r="O38" s="22">
        <v>3.5</v>
      </c>
      <c r="X38" s="44" t="s">
        <v>285</v>
      </c>
      <c r="AE38" s="22">
        <v>36</v>
      </c>
      <c r="AF38" s="22">
        <v>36</v>
      </c>
      <c r="AG38" s="22">
        <v>0.36</v>
      </c>
    </row>
    <row r="39" spans="2:33">
      <c r="B39" s="280" t="s">
        <v>375</v>
      </c>
      <c r="I39" s="44" t="s">
        <v>472</v>
      </c>
      <c r="O39" s="22">
        <v>3.6</v>
      </c>
      <c r="X39" s="44" t="s">
        <v>286</v>
      </c>
      <c r="AE39" s="22">
        <v>37</v>
      </c>
      <c r="AF39" s="22">
        <v>37</v>
      </c>
      <c r="AG39" s="22">
        <v>0.37</v>
      </c>
    </row>
    <row r="40" spans="2:33" ht="19.95" customHeight="1">
      <c r="B40" s="280" t="s">
        <v>376</v>
      </c>
      <c r="I40" s="44" t="s">
        <v>473</v>
      </c>
      <c r="O40" s="22">
        <v>3.7</v>
      </c>
      <c r="X40" s="44" t="s">
        <v>287</v>
      </c>
      <c r="AE40" s="22">
        <v>38</v>
      </c>
      <c r="AF40" s="22">
        <v>38</v>
      </c>
      <c r="AG40" s="22">
        <v>0.38</v>
      </c>
    </row>
    <row r="41" spans="2:33">
      <c r="B41" s="280" t="s">
        <v>377</v>
      </c>
      <c r="I41" s="44" t="s">
        <v>474</v>
      </c>
      <c r="O41" s="22">
        <v>3.8</v>
      </c>
      <c r="X41" s="44" t="s">
        <v>288</v>
      </c>
      <c r="AE41" s="22">
        <v>39</v>
      </c>
      <c r="AF41" s="22">
        <v>39</v>
      </c>
      <c r="AG41" s="22">
        <v>0.39</v>
      </c>
    </row>
    <row r="42" spans="2:33">
      <c r="B42" s="280" t="s">
        <v>378</v>
      </c>
      <c r="I42" s="44" t="s">
        <v>475</v>
      </c>
      <c r="O42" s="22">
        <v>3.9</v>
      </c>
      <c r="X42" s="44" t="s">
        <v>289</v>
      </c>
      <c r="AE42" s="22">
        <v>40</v>
      </c>
      <c r="AF42" s="22">
        <v>40</v>
      </c>
      <c r="AG42" s="22">
        <v>0.4</v>
      </c>
    </row>
    <row r="43" spans="2:33">
      <c r="B43" s="280" t="s">
        <v>379</v>
      </c>
      <c r="O43" s="22">
        <v>4</v>
      </c>
      <c r="AE43" s="22">
        <v>41</v>
      </c>
      <c r="AF43" s="22">
        <v>41</v>
      </c>
      <c r="AG43" s="22">
        <v>0.41</v>
      </c>
    </row>
    <row r="44" spans="2:33">
      <c r="B44" s="280" t="s">
        <v>380</v>
      </c>
      <c r="O44" s="22">
        <v>4.0999999999999996</v>
      </c>
      <c r="AE44" s="22">
        <v>42</v>
      </c>
      <c r="AF44" s="22">
        <v>42</v>
      </c>
      <c r="AG44" s="22">
        <v>0.42</v>
      </c>
    </row>
    <row r="45" spans="2:33">
      <c r="B45" s="280" t="s">
        <v>381</v>
      </c>
      <c r="O45" s="22">
        <v>4.2</v>
      </c>
      <c r="AE45" s="22">
        <v>43</v>
      </c>
      <c r="AF45" s="22">
        <v>43</v>
      </c>
      <c r="AG45" s="22">
        <v>0.43</v>
      </c>
    </row>
    <row r="46" spans="2:33">
      <c r="B46" s="280" t="s">
        <v>382</v>
      </c>
      <c r="O46" s="22">
        <v>4.3</v>
      </c>
      <c r="AE46" s="22">
        <v>44</v>
      </c>
      <c r="AF46" s="22">
        <v>44</v>
      </c>
      <c r="AG46" s="22">
        <v>0.44</v>
      </c>
    </row>
    <row r="47" spans="2:33">
      <c r="B47" s="280" t="s">
        <v>383</v>
      </c>
      <c r="O47" s="22">
        <v>4.4000000000000004</v>
      </c>
      <c r="AE47" s="22">
        <v>45</v>
      </c>
      <c r="AF47" s="22">
        <v>45</v>
      </c>
      <c r="AG47" s="22">
        <v>0.45</v>
      </c>
    </row>
    <row r="48" spans="2:33">
      <c r="B48" s="280" t="s">
        <v>384</v>
      </c>
      <c r="O48" s="22">
        <v>4.5</v>
      </c>
      <c r="AE48" s="22">
        <v>46</v>
      </c>
      <c r="AF48" s="22">
        <v>46</v>
      </c>
      <c r="AG48" s="22">
        <v>0.46</v>
      </c>
    </row>
    <row r="49" spans="2:33">
      <c r="B49" s="44" t="s">
        <v>385</v>
      </c>
      <c r="O49" s="22">
        <v>4.5999999999999996</v>
      </c>
      <c r="AE49" s="22">
        <v>47</v>
      </c>
      <c r="AF49" s="22">
        <v>47</v>
      </c>
      <c r="AG49" s="22">
        <v>0.47</v>
      </c>
    </row>
    <row r="50" spans="2:33">
      <c r="O50" s="22">
        <v>4.7</v>
      </c>
      <c r="AE50" s="22">
        <v>48</v>
      </c>
      <c r="AF50" s="22">
        <v>48</v>
      </c>
      <c r="AG50" s="22">
        <v>0.48</v>
      </c>
    </row>
    <row r="51" spans="2:33">
      <c r="O51" s="22">
        <v>4.8</v>
      </c>
      <c r="AE51" s="22">
        <v>49</v>
      </c>
      <c r="AF51" s="22">
        <v>49</v>
      </c>
      <c r="AG51" s="22">
        <v>0.49</v>
      </c>
    </row>
    <row r="52" spans="2:33">
      <c r="O52" s="22">
        <v>4.9000000000000004</v>
      </c>
      <c r="AE52" s="22">
        <v>50</v>
      </c>
      <c r="AF52" s="22">
        <v>50</v>
      </c>
      <c r="AG52" s="22">
        <v>0.5</v>
      </c>
    </row>
    <row r="53" spans="2:33">
      <c r="O53" s="22">
        <v>5</v>
      </c>
      <c r="AE53" s="22">
        <v>51</v>
      </c>
      <c r="AF53" s="22">
        <v>51</v>
      </c>
      <c r="AG53" s="22">
        <v>0.51</v>
      </c>
    </row>
    <row r="54" spans="2:33">
      <c r="AE54" s="22">
        <v>52</v>
      </c>
      <c r="AF54" s="22">
        <v>52</v>
      </c>
      <c r="AG54" s="22">
        <v>0.52</v>
      </c>
    </row>
    <row r="55" spans="2:33">
      <c r="AE55" s="22">
        <v>53</v>
      </c>
      <c r="AF55" s="22">
        <v>53</v>
      </c>
      <c r="AG55" s="22">
        <v>0.53</v>
      </c>
    </row>
    <row r="56" spans="2:33">
      <c r="B56" s="279"/>
      <c r="AE56" s="22">
        <v>54</v>
      </c>
      <c r="AF56" s="22">
        <v>54</v>
      </c>
      <c r="AG56" s="22">
        <v>0.54</v>
      </c>
    </row>
    <row r="57" spans="2:33">
      <c r="B57" s="279"/>
      <c r="AE57" s="22">
        <v>55</v>
      </c>
      <c r="AF57" s="22">
        <v>55</v>
      </c>
      <c r="AG57" s="22">
        <v>0.55000000000000004</v>
      </c>
    </row>
    <row r="58" spans="2:33">
      <c r="B58" s="279"/>
      <c r="AE58" s="22">
        <v>56</v>
      </c>
      <c r="AF58" s="22">
        <v>56</v>
      </c>
      <c r="AG58" s="22">
        <v>0.56000000000000005</v>
      </c>
    </row>
    <row r="59" spans="2:33">
      <c r="B59" s="279"/>
      <c r="AE59" s="22">
        <v>57</v>
      </c>
      <c r="AF59" s="22">
        <v>57</v>
      </c>
      <c r="AG59" s="22">
        <v>0.56999999999999995</v>
      </c>
    </row>
    <row r="60" spans="2:33">
      <c r="B60" s="279"/>
      <c r="AE60" s="22">
        <v>58</v>
      </c>
      <c r="AF60" s="22">
        <v>58</v>
      </c>
      <c r="AG60" s="22">
        <v>0.57999999999999996</v>
      </c>
    </row>
    <row r="61" spans="2:33">
      <c r="B61" s="279"/>
      <c r="AE61" s="22">
        <v>59</v>
      </c>
      <c r="AF61" s="22">
        <v>59</v>
      </c>
      <c r="AG61" s="22">
        <v>0.59</v>
      </c>
    </row>
    <row r="62" spans="2:33">
      <c r="B62" s="279"/>
      <c r="AE62" s="22">
        <v>60</v>
      </c>
      <c r="AF62" s="22">
        <v>60</v>
      </c>
      <c r="AG62" s="22">
        <v>0.6</v>
      </c>
    </row>
    <row r="63" spans="2:33">
      <c r="B63" s="279"/>
      <c r="AE63" s="22">
        <v>61</v>
      </c>
      <c r="AF63" s="22">
        <v>61</v>
      </c>
      <c r="AG63" s="22">
        <v>0.61</v>
      </c>
    </row>
    <row r="64" spans="2:33">
      <c r="B64" s="279"/>
      <c r="AE64" s="22">
        <v>62</v>
      </c>
      <c r="AF64" s="22">
        <v>62</v>
      </c>
      <c r="AG64" s="22">
        <v>0.62</v>
      </c>
    </row>
    <row r="65" spans="2:33">
      <c r="B65" s="279"/>
      <c r="AE65" s="22">
        <v>63</v>
      </c>
      <c r="AF65" s="22">
        <v>63</v>
      </c>
      <c r="AG65" s="22">
        <v>0.63</v>
      </c>
    </row>
    <row r="66" spans="2:33">
      <c r="B66" s="279"/>
      <c r="AE66" s="22">
        <v>64</v>
      </c>
      <c r="AF66" s="22">
        <v>64</v>
      </c>
      <c r="AG66" s="22">
        <v>0.64</v>
      </c>
    </row>
    <row r="67" spans="2:33">
      <c r="B67" s="279"/>
      <c r="AE67" s="22">
        <v>65</v>
      </c>
      <c r="AF67" s="22">
        <v>65</v>
      </c>
      <c r="AG67" s="22">
        <v>0.65</v>
      </c>
    </row>
    <row r="68" spans="2:33">
      <c r="B68" s="279"/>
      <c r="AE68" s="22">
        <v>66</v>
      </c>
      <c r="AF68" s="22">
        <v>66</v>
      </c>
      <c r="AG68" s="22">
        <v>0.66</v>
      </c>
    </row>
    <row r="69" spans="2:33">
      <c r="B69" s="279"/>
      <c r="AE69" s="22">
        <v>67</v>
      </c>
      <c r="AF69" s="22">
        <v>67</v>
      </c>
      <c r="AG69" s="22">
        <v>0.67</v>
      </c>
    </row>
    <row r="70" spans="2:33">
      <c r="B70" s="279"/>
      <c r="AE70" s="22">
        <v>68</v>
      </c>
      <c r="AF70" s="22">
        <v>68</v>
      </c>
      <c r="AG70" s="22">
        <v>0.68</v>
      </c>
    </row>
    <row r="71" spans="2:33">
      <c r="B71" s="279"/>
      <c r="AE71" s="22">
        <v>69</v>
      </c>
      <c r="AF71" s="22">
        <v>69</v>
      </c>
      <c r="AG71" s="22">
        <v>0.69</v>
      </c>
    </row>
    <row r="72" spans="2:33">
      <c r="B72" s="44"/>
      <c r="AE72" s="22">
        <v>70</v>
      </c>
      <c r="AF72" s="22">
        <v>70</v>
      </c>
      <c r="AG72" s="22">
        <v>0.7</v>
      </c>
    </row>
    <row r="73" spans="2:33">
      <c r="B73" s="44"/>
      <c r="AE73" s="22">
        <v>71</v>
      </c>
      <c r="AF73" s="22">
        <v>71</v>
      </c>
      <c r="AG73" s="22">
        <v>0.71</v>
      </c>
    </row>
    <row r="74" spans="2:33">
      <c r="B74" s="44"/>
      <c r="AE74" s="22">
        <v>72</v>
      </c>
      <c r="AF74" s="22">
        <v>72</v>
      </c>
      <c r="AG74" s="22">
        <v>0.72</v>
      </c>
    </row>
    <row r="75" spans="2:33">
      <c r="B75" s="44"/>
      <c r="AE75" s="22">
        <v>73</v>
      </c>
      <c r="AF75" s="22">
        <v>73</v>
      </c>
      <c r="AG75" s="22">
        <v>0.73</v>
      </c>
    </row>
    <row r="76" spans="2:33">
      <c r="B76" s="279"/>
      <c r="AE76" s="22">
        <v>74</v>
      </c>
      <c r="AF76" s="22">
        <v>74</v>
      </c>
      <c r="AG76" s="22">
        <v>0.74</v>
      </c>
    </row>
    <row r="77" spans="2:33">
      <c r="B77" s="279"/>
      <c r="AE77" s="22">
        <v>75</v>
      </c>
      <c r="AF77" s="22">
        <v>75</v>
      </c>
      <c r="AG77" s="22">
        <v>0.75</v>
      </c>
    </row>
    <row r="78" spans="2:33">
      <c r="B78" s="279"/>
      <c r="AE78" s="22">
        <v>76</v>
      </c>
      <c r="AF78" s="22">
        <v>76</v>
      </c>
      <c r="AG78" s="22">
        <v>0.76</v>
      </c>
    </row>
    <row r="79" spans="2:33">
      <c r="B79" s="279"/>
      <c r="AE79" s="22">
        <v>77</v>
      </c>
      <c r="AF79" s="22">
        <v>77</v>
      </c>
      <c r="AG79" s="22">
        <v>0.77</v>
      </c>
    </row>
    <row r="80" spans="2:33">
      <c r="B80" s="279"/>
      <c r="AE80" s="22">
        <v>78</v>
      </c>
      <c r="AF80" s="22">
        <v>78</v>
      </c>
      <c r="AG80" s="22">
        <v>0.78</v>
      </c>
    </row>
    <row r="81" spans="2:33">
      <c r="B81" s="279"/>
      <c r="AE81" s="22">
        <v>79</v>
      </c>
      <c r="AF81" s="22">
        <v>79</v>
      </c>
      <c r="AG81" s="22">
        <v>0.79</v>
      </c>
    </row>
    <row r="82" spans="2:33">
      <c r="B82" s="279"/>
      <c r="AE82" s="22">
        <v>80</v>
      </c>
      <c r="AF82" s="22">
        <v>80</v>
      </c>
      <c r="AG82" s="22">
        <v>0.8</v>
      </c>
    </row>
    <row r="83" spans="2:33">
      <c r="B83" s="279"/>
      <c r="AE83" s="22">
        <v>81</v>
      </c>
      <c r="AF83" s="22">
        <v>81</v>
      </c>
      <c r="AG83" s="22">
        <v>0.81</v>
      </c>
    </row>
    <row r="84" spans="2:33">
      <c r="B84" s="44"/>
      <c r="AE84" s="22">
        <v>82</v>
      </c>
      <c r="AF84" s="22">
        <v>82</v>
      </c>
      <c r="AG84" s="22">
        <v>0.82</v>
      </c>
    </row>
    <row r="85" spans="2:33">
      <c r="B85" s="44"/>
      <c r="AE85" s="22">
        <v>83</v>
      </c>
      <c r="AF85" s="22">
        <v>83</v>
      </c>
      <c r="AG85" s="22">
        <v>0.83</v>
      </c>
    </row>
    <row r="86" spans="2:33">
      <c r="B86" s="280"/>
      <c r="AE86" s="22">
        <v>84</v>
      </c>
      <c r="AF86" s="22">
        <v>84</v>
      </c>
      <c r="AG86" s="22">
        <v>0.84</v>
      </c>
    </row>
    <row r="87" spans="2:33">
      <c r="B87" s="279"/>
      <c r="AE87" s="22">
        <v>85</v>
      </c>
      <c r="AF87" s="22">
        <v>85</v>
      </c>
      <c r="AG87" s="22">
        <v>0.85</v>
      </c>
    </row>
    <row r="88" spans="2:33">
      <c r="B88" s="280"/>
      <c r="AE88" s="22">
        <v>86</v>
      </c>
      <c r="AF88" s="22">
        <v>86</v>
      </c>
      <c r="AG88" s="22">
        <v>0.86</v>
      </c>
    </row>
    <row r="89" spans="2:33">
      <c r="B89" s="280"/>
      <c r="AE89" s="22">
        <v>87</v>
      </c>
      <c r="AF89" s="22">
        <v>87</v>
      </c>
      <c r="AG89" s="22">
        <v>0.87</v>
      </c>
    </row>
    <row r="90" spans="2:33">
      <c r="B90" s="280"/>
      <c r="AE90" s="22">
        <v>88</v>
      </c>
      <c r="AF90" s="22">
        <v>88</v>
      </c>
      <c r="AG90" s="22">
        <v>0.88</v>
      </c>
    </row>
    <row r="91" spans="2:33">
      <c r="B91" s="280"/>
      <c r="AE91" s="22">
        <v>89</v>
      </c>
      <c r="AF91" s="22">
        <v>89</v>
      </c>
      <c r="AG91" s="22">
        <v>0.89</v>
      </c>
    </row>
    <row r="92" spans="2:33">
      <c r="B92" s="280"/>
      <c r="AE92" s="22">
        <v>90</v>
      </c>
      <c r="AF92" s="22">
        <v>90</v>
      </c>
      <c r="AG92" s="22">
        <v>0.9</v>
      </c>
    </row>
    <row r="93" spans="2:33">
      <c r="B93" s="280"/>
      <c r="AE93" s="22">
        <v>91</v>
      </c>
      <c r="AF93" s="22">
        <v>91</v>
      </c>
      <c r="AG93" s="22">
        <v>0.91</v>
      </c>
    </row>
    <row r="94" spans="2:33">
      <c r="B94" s="280"/>
      <c r="AE94" s="22">
        <v>92</v>
      </c>
      <c r="AF94" s="22">
        <v>92</v>
      </c>
      <c r="AG94" s="22">
        <v>0.92</v>
      </c>
    </row>
    <row r="95" spans="2:33">
      <c r="B95" s="280"/>
      <c r="AE95" s="22">
        <v>93</v>
      </c>
      <c r="AF95" s="22">
        <v>93</v>
      </c>
      <c r="AG95" s="22">
        <v>0.93</v>
      </c>
    </row>
    <row r="96" spans="2:33">
      <c r="B96" s="280"/>
      <c r="AE96" s="22">
        <v>94</v>
      </c>
      <c r="AF96" s="22">
        <v>94</v>
      </c>
      <c r="AG96" s="22">
        <v>0.94</v>
      </c>
    </row>
    <row r="97" spans="2:33">
      <c r="B97" s="280"/>
      <c r="AE97" s="22">
        <v>95</v>
      </c>
      <c r="AF97" s="22">
        <v>95</v>
      </c>
      <c r="AG97" s="22">
        <v>0.95</v>
      </c>
    </row>
    <row r="98" spans="2:33">
      <c r="B98" s="280"/>
      <c r="AE98" s="22">
        <v>96</v>
      </c>
      <c r="AF98" s="22">
        <v>96</v>
      </c>
      <c r="AG98" s="22">
        <v>0.96</v>
      </c>
    </row>
    <row r="99" spans="2:33">
      <c r="B99" s="280"/>
      <c r="AE99" s="22">
        <v>97</v>
      </c>
      <c r="AF99" s="22">
        <v>97</v>
      </c>
      <c r="AG99" s="22">
        <v>0.97</v>
      </c>
    </row>
    <row r="100" spans="2:33">
      <c r="B100" s="280"/>
      <c r="AE100" s="22">
        <v>98</v>
      </c>
      <c r="AF100" s="22">
        <v>98</v>
      </c>
      <c r="AG100" s="22">
        <v>0.98</v>
      </c>
    </row>
    <row r="101" spans="2:33">
      <c r="B101" s="44"/>
      <c r="AE101" s="22">
        <v>99</v>
      </c>
      <c r="AF101" s="22">
        <v>99</v>
      </c>
      <c r="AG101" s="22">
        <v>0.99</v>
      </c>
    </row>
    <row r="102" spans="2:33">
      <c r="AE102" s="22">
        <v>100</v>
      </c>
      <c r="AF102" s="22">
        <v>100</v>
      </c>
      <c r="AG102" s="22">
        <v>1</v>
      </c>
    </row>
    <row r="103" spans="2:33">
      <c r="AF103" s="22">
        <v>101</v>
      </c>
      <c r="AG103" s="22">
        <v>1.01</v>
      </c>
    </row>
    <row r="104" spans="2:33">
      <c r="AF104" s="22">
        <v>102</v>
      </c>
      <c r="AG104" s="22">
        <v>1.02</v>
      </c>
    </row>
    <row r="105" spans="2:33">
      <c r="AF105" s="22">
        <v>103</v>
      </c>
      <c r="AG105" s="22">
        <v>1.03</v>
      </c>
    </row>
    <row r="106" spans="2:33">
      <c r="AF106" s="22">
        <v>104</v>
      </c>
      <c r="AG106" s="22">
        <v>1.04</v>
      </c>
    </row>
    <row r="107" spans="2:33">
      <c r="AF107" s="22">
        <v>105</v>
      </c>
      <c r="AG107" s="22">
        <v>1.05</v>
      </c>
    </row>
    <row r="108" spans="2:33">
      <c r="AF108" s="22">
        <v>106</v>
      </c>
      <c r="AG108" s="22">
        <v>1.06</v>
      </c>
    </row>
    <row r="109" spans="2:33">
      <c r="AF109" s="22">
        <v>107</v>
      </c>
      <c r="AG109" s="22">
        <v>1.07</v>
      </c>
    </row>
    <row r="110" spans="2:33">
      <c r="AF110" s="22">
        <v>108</v>
      </c>
      <c r="AG110" s="22">
        <v>1.08</v>
      </c>
    </row>
    <row r="111" spans="2:33">
      <c r="AF111" s="22">
        <v>109</v>
      </c>
      <c r="AG111" s="22">
        <v>1.0900000000000001</v>
      </c>
    </row>
    <row r="112" spans="2:33">
      <c r="AF112" s="22">
        <v>110</v>
      </c>
      <c r="AG112" s="22">
        <v>1.1000000000000001</v>
      </c>
    </row>
    <row r="113" spans="32:33">
      <c r="AF113" s="22">
        <v>111</v>
      </c>
      <c r="AG113" s="22">
        <v>1.1100000000000001</v>
      </c>
    </row>
    <row r="114" spans="32:33">
      <c r="AF114" s="22">
        <v>112</v>
      </c>
      <c r="AG114" s="22">
        <v>1.1200000000000001</v>
      </c>
    </row>
    <row r="115" spans="32:33">
      <c r="AF115" s="22">
        <v>113</v>
      </c>
      <c r="AG115" s="22">
        <v>1.1299999999999999</v>
      </c>
    </row>
    <row r="116" spans="32:33">
      <c r="AF116" s="22">
        <v>114</v>
      </c>
      <c r="AG116" s="22">
        <v>1.1399999999999999</v>
      </c>
    </row>
    <row r="117" spans="32:33">
      <c r="AF117" s="22">
        <v>115</v>
      </c>
      <c r="AG117" s="22">
        <v>1.1499999999999999</v>
      </c>
    </row>
    <row r="118" spans="32:33">
      <c r="AF118" s="22">
        <v>116</v>
      </c>
      <c r="AG118" s="22">
        <v>1.1599999999999999</v>
      </c>
    </row>
    <row r="119" spans="32:33">
      <c r="AF119" s="22">
        <v>117</v>
      </c>
      <c r="AG119" s="22">
        <v>1.17</v>
      </c>
    </row>
    <row r="120" spans="32:33">
      <c r="AF120" s="22">
        <v>118</v>
      </c>
      <c r="AG120" s="22">
        <v>1.18</v>
      </c>
    </row>
    <row r="121" spans="32:33">
      <c r="AF121" s="22">
        <v>119</v>
      </c>
      <c r="AG121" s="22">
        <v>1.19</v>
      </c>
    </row>
    <row r="122" spans="32:33">
      <c r="AF122" s="22">
        <v>120</v>
      </c>
      <c r="AG122" s="22">
        <v>1.2</v>
      </c>
    </row>
    <row r="123" spans="32:33">
      <c r="AF123" s="22">
        <v>121</v>
      </c>
      <c r="AG123" s="22">
        <v>1.21</v>
      </c>
    </row>
    <row r="124" spans="32:33">
      <c r="AF124" s="22">
        <v>122</v>
      </c>
      <c r="AG124" s="22">
        <v>1.22</v>
      </c>
    </row>
    <row r="125" spans="32:33">
      <c r="AF125" s="22">
        <v>123</v>
      </c>
      <c r="AG125" s="22">
        <v>1.23</v>
      </c>
    </row>
    <row r="126" spans="32:33">
      <c r="AF126" s="22">
        <v>124</v>
      </c>
      <c r="AG126" s="22">
        <v>1.24</v>
      </c>
    </row>
    <row r="127" spans="32:33">
      <c r="AF127" s="22">
        <v>125</v>
      </c>
      <c r="AG127" s="22">
        <v>1.25</v>
      </c>
    </row>
    <row r="128" spans="32:33">
      <c r="AF128" s="22">
        <v>126</v>
      </c>
      <c r="AG128" s="22">
        <v>1.26</v>
      </c>
    </row>
    <row r="129" spans="32:33">
      <c r="AF129" s="22">
        <v>127</v>
      </c>
      <c r="AG129" s="22">
        <v>1.27</v>
      </c>
    </row>
    <row r="130" spans="32:33">
      <c r="AF130" s="22">
        <v>128</v>
      </c>
      <c r="AG130" s="22">
        <v>1.28</v>
      </c>
    </row>
    <row r="131" spans="32:33">
      <c r="AF131" s="22">
        <v>129</v>
      </c>
      <c r="AG131" s="22">
        <v>1.29</v>
      </c>
    </row>
    <row r="132" spans="32:33">
      <c r="AF132" s="22">
        <v>130</v>
      </c>
      <c r="AG132" s="22">
        <v>1.3</v>
      </c>
    </row>
    <row r="133" spans="32:33">
      <c r="AF133" s="22">
        <v>131</v>
      </c>
      <c r="AG133" s="22">
        <v>1.31</v>
      </c>
    </row>
    <row r="134" spans="32:33">
      <c r="AF134" s="22">
        <v>132</v>
      </c>
      <c r="AG134" s="22">
        <v>1.32</v>
      </c>
    </row>
    <row r="135" spans="32:33">
      <c r="AF135" s="22">
        <v>133</v>
      </c>
      <c r="AG135" s="22">
        <v>1.33</v>
      </c>
    </row>
    <row r="136" spans="32:33">
      <c r="AF136" s="22">
        <v>134</v>
      </c>
      <c r="AG136" s="22">
        <v>1.34</v>
      </c>
    </row>
    <row r="137" spans="32:33">
      <c r="AF137" s="22">
        <v>135</v>
      </c>
      <c r="AG137" s="22">
        <v>1.35</v>
      </c>
    </row>
    <row r="138" spans="32:33">
      <c r="AF138" s="22">
        <v>136</v>
      </c>
      <c r="AG138" s="22">
        <v>1.36</v>
      </c>
    </row>
    <row r="139" spans="32:33">
      <c r="AF139" s="22">
        <v>137</v>
      </c>
      <c r="AG139" s="22">
        <v>1.37</v>
      </c>
    </row>
    <row r="140" spans="32:33">
      <c r="AF140" s="22">
        <v>138</v>
      </c>
      <c r="AG140" s="22">
        <v>1.38</v>
      </c>
    </row>
    <row r="141" spans="32:33">
      <c r="AF141" s="22">
        <v>139</v>
      </c>
      <c r="AG141" s="22">
        <v>1.39</v>
      </c>
    </row>
    <row r="142" spans="32:33">
      <c r="AF142" s="22">
        <v>140</v>
      </c>
      <c r="AG142" s="22">
        <v>1.4</v>
      </c>
    </row>
    <row r="143" spans="32:33">
      <c r="AF143" s="22">
        <v>141</v>
      </c>
      <c r="AG143" s="22">
        <v>1.41</v>
      </c>
    </row>
    <row r="144" spans="32:33">
      <c r="AF144" s="22">
        <v>142</v>
      </c>
      <c r="AG144" s="22">
        <v>1.42</v>
      </c>
    </row>
    <row r="145" spans="32:33">
      <c r="AF145" s="22">
        <v>143</v>
      </c>
      <c r="AG145" s="22">
        <v>1.43</v>
      </c>
    </row>
    <row r="146" spans="32:33">
      <c r="AF146" s="22">
        <v>144</v>
      </c>
      <c r="AG146" s="22">
        <v>1.44</v>
      </c>
    </row>
    <row r="147" spans="32:33">
      <c r="AF147" s="22">
        <v>145</v>
      </c>
      <c r="AG147" s="22">
        <v>1.45</v>
      </c>
    </row>
    <row r="148" spans="32:33">
      <c r="AF148" s="22">
        <v>146</v>
      </c>
      <c r="AG148" s="22">
        <v>1.46</v>
      </c>
    </row>
    <row r="149" spans="32:33">
      <c r="AF149" s="22">
        <v>147</v>
      </c>
      <c r="AG149" s="22">
        <v>1.47</v>
      </c>
    </row>
    <row r="150" spans="32:33">
      <c r="AF150" s="22">
        <v>148</v>
      </c>
      <c r="AG150" s="22">
        <v>1.48</v>
      </c>
    </row>
    <row r="151" spans="32:33">
      <c r="AF151" s="22">
        <v>149</v>
      </c>
      <c r="AG151" s="22">
        <v>1.49</v>
      </c>
    </row>
    <row r="152" spans="32:33">
      <c r="AF152" s="22">
        <v>150</v>
      </c>
      <c r="AG152" s="22">
        <v>1.5</v>
      </c>
    </row>
    <row r="153" spans="32:33">
      <c r="AF153" s="22">
        <v>151</v>
      </c>
      <c r="AG153" s="22">
        <v>1.51</v>
      </c>
    </row>
    <row r="154" spans="32:33">
      <c r="AF154" s="22">
        <v>152</v>
      </c>
      <c r="AG154" s="22">
        <v>1.52</v>
      </c>
    </row>
    <row r="155" spans="32:33">
      <c r="AF155" s="22">
        <v>153</v>
      </c>
      <c r="AG155" s="22">
        <v>1.53</v>
      </c>
    </row>
    <row r="156" spans="32:33">
      <c r="AF156" s="22">
        <v>154</v>
      </c>
      <c r="AG156" s="22">
        <v>1.54</v>
      </c>
    </row>
    <row r="157" spans="32:33">
      <c r="AF157" s="22">
        <v>155</v>
      </c>
      <c r="AG157" s="22">
        <v>1.55</v>
      </c>
    </row>
    <row r="158" spans="32:33">
      <c r="AF158" s="22">
        <v>156</v>
      </c>
      <c r="AG158" s="22">
        <v>1.56</v>
      </c>
    </row>
    <row r="159" spans="32:33">
      <c r="AF159" s="22">
        <v>157</v>
      </c>
      <c r="AG159" s="22">
        <v>1.57</v>
      </c>
    </row>
    <row r="160" spans="32:33">
      <c r="AF160" s="22">
        <v>158</v>
      </c>
      <c r="AG160" s="22">
        <v>1.58</v>
      </c>
    </row>
    <row r="161" spans="32:33">
      <c r="AF161" s="22">
        <v>159</v>
      </c>
      <c r="AG161" s="22">
        <v>1.59</v>
      </c>
    </row>
    <row r="162" spans="32:33">
      <c r="AF162" s="22">
        <v>160</v>
      </c>
      <c r="AG162" s="22">
        <v>1.6</v>
      </c>
    </row>
    <row r="163" spans="32:33">
      <c r="AF163" s="22">
        <v>161</v>
      </c>
      <c r="AG163" s="22">
        <v>1.61</v>
      </c>
    </row>
    <row r="164" spans="32:33">
      <c r="AF164" s="22">
        <v>162</v>
      </c>
      <c r="AG164" s="22">
        <v>1.62</v>
      </c>
    </row>
    <row r="165" spans="32:33">
      <c r="AF165" s="22">
        <v>163</v>
      </c>
      <c r="AG165" s="22">
        <v>1.63</v>
      </c>
    </row>
    <row r="166" spans="32:33">
      <c r="AF166" s="22">
        <v>164</v>
      </c>
      <c r="AG166" s="22">
        <v>1.64</v>
      </c>
    </row>
    <row r="167" spans="32:33">
      <c r="AF167" s="22">
        <v>165</v>
      </c>
      <c r="AG167" s="22">
        <v>1.65</v>
      </c>
    </row>
    <row r="168" spans="32:33">
      <c r="AF168" s="22">
        <v>166</v>
      </c>
      <c r="AG168" s="22">
        <v>1.66</v>
      </c>
    </row>
    <row r="169" spans="32:33">
      <c r="AF169" s="22">
        <v>167</v>
      </c>
      <c r="AG169" s="22">
        <v>1.67</v>
      </c>
    </row>
    <row r="170" spans="32:33">
      <c r="AF170" s="22">
        <v>168</v>
      </c>
      <c r="AG170" s="22">
        <v>1.68</v>
      </c>
    </row>
    <row r="171" spans="32:33">
      <c r="AF171" s="22">
        <v>169</v>
      </c>
      <c r="AG171" s="22">
        <v>1.69</v>
      </c>
    </row>
    <row r="172" spans="32:33">
      <c r="AF172" s="22">
        <v>170</v>
      </c>
      <c r="AG172" s="22">
        <v>1.7</v>
      </c>
    </row>
    <row r="173" spans="32:33">
      <c r="AF173" s="22">
        <v>171</v>
      </c>
      <c r="AG173" s="22">
        <v>1.71</v>
      </c>
    </row>
    <row r="174" spans="32:33">
      <c r="AF174" s="22">
        <v>172</v>
      </c>
      <c r="AG174" s="22">
        <v>1.72</v>
      </c>
    </row>
    <row r="175" spans="32:33">
      <c r="AF175" s="22">
        <v>173</v>
      </c>
      <c r="AG175" s="22">
        <v>1.73</v>
      </c>
    </row>
    <row r="176" spans="32:33">
      <c r="AF176" s="22">
        <v>174</v>
      </c>
      <c r="AG176" s="22">
        <v>1.74</v>
      </c>
    </row>
    <row r="177" spans="32:33">
      <c r="AF177" s="22">
        <v>175</v>
      </c>
      <c r="AG177" s="22">
        <v>1.75</v>
      </c>
    </row>
    <row r="178" spans="32:33">
      <c r="AF178" s="22">
        <v>176</v>
      </c>
      <c r="AG178" s="22">
        <v>1.76</v>
      </c>
    </row>
    <row r="179" spans="32:33">
      <c r="AF179" s="22">
        <v>177</v>
      </c>
      <c r="AG179" s="22">
        <v>1.77</v>
      </c>
    </row>
    <row r="180" spans="32:33">
      <c r="AF180" s="22">
        <v>178</v>
      </c>
      <c r="AG180" s="22">
        <v>1.78</v>
      </c>
    </row>
    <row r="181" spans="32:33">
      <c r="AF181" s="22">
        <v>179</v>
      </c>
      <c r="AG181" s="22">
        <v>1.79</v>
      </c>
    </row>
    <row r="182" spans="32:33">
      <c r="AF182" s="22">
        <v>180</v>
      </c>
      <c r="AG182" s="22">
        <v>1.8</v>
      </c>
    </row>
    <row r="183" spans="32:33">
      <c r="AG183" s="22">
        <v>1.81</v>
      </c>
    </row>
    <row r="184" spans="32:33">
      <c r="AG184" s="22">
        <v>1.82</v>
      </c>
    </row>
    <row r="185" spans="32:33">
      <c r="AG185" s="22">
        <v>1.83</v>
      </c>
    </row>
    <row r="186" spans="32:33">
      <c r="AG186" s="22">
        <v>1.84</v>
      </c>
    </row>
    <row r="187" spans="32:33">
      <c r="AG187" s="22">
        <v>1.85</v>
      </c>
    </row>
    <row r="188" spans="32:33">
      <c r="AG188" s="22">
        <v>1.86</v>
      </c>
    </row>
    <row r="189" spans="32:33">
      <c r="AG189" s="22">
        <v>1.87</v>
      </c>
    </row>
    <row r="190" spans="32:33">
      <c r="AG190" s="22">
        <v>1.88</v>
      </c>
    </row>
    <row r="191" spans="32:33">
      <c r="AG191" s="22">
        <v>1.89</v>
      </c>
    </row>
    <row r="192" spans="32:33">
      <c r="AG192" s="22">
        <v>1.9</v>
      </c>
    </row>
    <row r="193" spans="33:33">
      <c r="AG193" s="22">
        <v>1.91</v>
      </c>
    </row>
    <row r="194" spans="33:33">
      <c r="AG194" s="22">
        <v>1.92</v>
      </c>
    </row>
    <row r="195" spans="33:33">
      <c r="AG195" s="22">
        <v>1.93</v>
      </c>
    </row>
    <row r="196" spans="33:33">
      <c r="AG196" s="22">
        <v>1.94</v>
      </c>
    </row>
    <row r="197" spans="33:33">
      <c r="AG197" s="22">
        <v>1.95</v>
      </c>
    </row>
    <row r="198" spans="33:33">
      <c r="AG198" s="22">
        <v>1.96</v>
      </c>
    </row>
    <row r="199" spans="33:33">
      <c r="AG199" s="22">
        <v>1.97</v>
      </c>
    </row>
    <row r="200" spans="33:33">
      <c r="AG200" s="22">
        <v>1.98</v>
      </c>
    </row>
    <row r="201" spans="33:33">
      <c r="AG201" s="22">
        <v>1.99</v>
      </c>
    </row>
    <row r="202" spans="33:33">
      <c r="AG202" s="22">
        <v>2</v>
      </c>
    </row>
  </sheetData>
  <customSheetViews>
    <customSheetView guid="{DEEDC23C-5E0A-459A-BE7F-FE8D0597CCC6}">
      <selection activeCell="F1" sqref="F1:F7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B2:AJ65"/>
  <sheetViews>
    <sheetView topLeftCell="AD1" workbookViewId="0">
      <selection activeCell="Z2" activeCellId="1" sqref="X2 Z2"/>
    </sheetView>
  </sheetViews>
  <sheetFormatPr defaultColWidth="8.88671875" defaultRowHeight="12.3"/>
  <cols>
    <col min="1" max="1" width="4.6640625" style="45" customWidth="1"/>
    <col min="2" max="2" width="31" style="45" customWidth="1"/>
    <col min="3" max="3" width="52.33203125" style="45" bestFit="1" customWidth="1"/>
    <col min="4" max="5" width="17.88671875" style="45" customWidth="1"/>
    <col min="6" max="6" width="21.33203125" style="45" customWidth="1"/>
    <col min="7" max="7" width="24" style="45" customWidth="1"/>
    <col min="8" max="8" width="12.88671875" style="45" customWidth="1"/>
    <col min="9" max="9" width="26" style="45" customWidth="1"/>
    <col min="10" max="10" width="8.88671875" style="45"/>
    <col min="11" max="11" width="18.6640625" style="45" customWidth="1"/>
    <col min="12" max="12" width="26" style="45" customWidth="1"/>
    <col min="13" max="13" width="10.33203125" style="45" customWidth="1"/>
    <col min="14" max="14" width="19.33203125" style="45" customWidth="1"/>
    <col min="15" max="15" width="24.33203125" style="45" customWidth="1"/>
    <col min="16" max="16" width="8.88671875" style="45"/>
    <col min="17" max="17" width="22.109375" style="45" customWidth="1"/>
    <col min="18" max="18" width="14.88671875" style="45" bestFit="1" customWidth="1"/>
    <col min="19" max="19" width="11.109375" style="45" customWidth="1"/>
    <col min="20" max="20" width="10" style="45" customWidth="1"/>
    <col min="21" max="21" width="16.5546875" style="45" customWidth="1"/>
    <col min="22" max="22" width="12.6640625" style="45" customWidth="1"/>
    <col min="23" max="23" width="8.88671875" style="45"/>
    <col min="24" max="24" width="18.5546875" style="45" customWidth="1"/>
    <col min="25" max="26" width="8.88671875" style="45"/>
    <col min="27" max="27" width="13.44140625" style="45" customWidth="1"/>
    <col min="28" max="28" width="25.5546875" style="45" bestFit="1" customWidth="1"/>
    <col min="29" max="29" width="8.88671875" style="45"/>
    <col min="30" max="30" width="13.88671875" style="45" customWidth="1"/>
    <col min="31" max="31" width="22.6640625" style="45" customWidth="1"/>
    <col min="32" max="32" width="15.109375" style="45" customWidth="1"/>
    <col min="33" max="33" width="18.5546875" style="45" customWidth="1"/>
    <col min="34" max="34" width="24.5546875" style="45" customWidth="1"/>
    <col min="35" max="35" width="22.88671875" style="45" customWidth="1"/>
    <col min="36" max="36" width="12.6640625" style="45" customWidth="1"/>
    <col min="37" max="37" width="16.6640625" style="45" customWidth="1"/>
    <col min="38" max="38" width="28.109375" style="45" customWidth="1"/>
    <col min="39" max="39" width="8.88671875" style="45"/>
    <col min="40" max="40" width="30" style="45" customWidth="1"/>
    <col min="41" max="16384" width="8.88671875" style="45"/>
  </cols>
  <sheetData>
    <row r="2" spans="2:36" ht="19.95" customHeight="1">
      <c r="B2" s="284" t="s">
        <v>98</v>
      </c>
      <c r="C2" s="284" t="s">
        <v>193</v>
      </c>
      <c r="D2" s="284" t="s">
        <v>243</v>
      </c>
      <c r="E2" s="284" t="s">
        <v>244</v>
      </c>
      <c r="F2" s="43"/>
      <c r="G2" s="43"/>
      <c r="I2" s="285"/>
      <c r="J2" s="285"/>
      <c r="K2" s="286"/>
      <c r="L2" s="287" t="s">
        <v>194</v>
      </c>
      <c r="M2" s="287"/>
      <c r="N2" s="287"/>
      <c r="O2" s="287" t="s">
        <v>216</v>
      </c>
      <c r="P2" s="287"/>
      <c r="R2" s="43" t="s">
        <v>210</v>
      </c>
      <c r="U2" s="43" t="s">
        <v>215</v>
      </c>
      <c r="X2" s="43" t="s">
        <v>218</v>
      </c>
    </row>
    <row r="3" spans="2:36" ht="17.25" customHeight="1">
      <c r="B3" s="288" t="s">
        <v>99</v>
      </c>
      <c r="C3" s="289">
        <v>50</v>
      </c>
      <c r="D3" s="290">
        <v>0</v>
      </c>
      <c r="E3" s="291">
        <f>D3/3.6</f>
        <v>0</v>
      </c>
      <c r="F3" s="292"/>
      <c r="G3" s="292"/>
      <c r="I3" s="293"/>
      <c r="J3" s="293"/>
      <c r="K3" s="294"/>
      <c r="L3" s="294" t="s">
        <v>217</v>
      </c>
      <c r="M3" s="294" t="s">
        <v>197</v>
      </c>
      <c r="N3" s="287" t="s">
        <v>195</v>
      </c>
      <c r="O3" s="287" t="s">
        <v>196</v>
      </c>
      <c r="P3" s="286"/>
      <c r="R3" s="45" t="s">
        <v>208</v>
      </c>
      <c r="S3" s="45">
        <v>21</v>
      </c>
      <c r="U3" s="45">
        <v>0</v>
      </c>
      <c r="V3" s="45">
        <v>0</v>
      </c>
      <c r="X3" s="45" t="s">
        <v>228</v>
      </c>
      <c r="Y3" s="45">
        <f>'&lt;&lt;COMFA Questionaire&gt;&gt;'!D8</f>
        <v>35.700000000000003</v>
      </c>
    </row>
    <row r="4" spans="2:36" ht="15" customHeight="1">
      <c r="B4" s="288" t="s">
        <v>100</v>
      </c>
      <c r="C4" s="289">
        <v>70</v>
      </c>
      <c r="D4" s="290">
        <v>0</v>
      </c>
      <c r="E4" s="291">
        <f t="shared" ref="E4:E26" si="0">D4/3.6</f>
        <v>0</v>
      </c>
      <c r="F4" s="292"/>
      <c r="G4" s="292"/>
      <c r="I4" s="293"/>
      <c r="J4" s="293"/>
      <c r="K4" s="294" t="s">
        <v>162</v>
      </c>
      <c r="L4" s="294" t="s">
        <v>213</v>
      </c>
      <c r="M4" s="294">
        <f>(N4+O4)/2</f>
        <v>9.5</v>
      </c>
      <c r="N4" s="294">
        <v>5</v>
      </c>
      <c r="O4" s="294">
        <v>14</v>
      </c>
      <c r="P4" s="286"/>
      <c r="R4" s="45" t="s">
        <v>637</v>
      </c>
      <c r="S4" s="45">
        <v>37</v>
      </c>
      <c r="U4" s="45">
        <v>10</v>
      </c>
      <c r="V4" s="45">
        <v>10</v>
      </c>
      <c r="X4" s="45">
        <v>-30</v>
      </c>
      <c r="Y4" s="45">
        <v>-30</v>
      </c>
      <c r="AB4" s="295"/>
      <c r="AC4" s="295" t="s">
        <v>202</v>
      </c>
      <c r="AD4" s="296">
        <v>15</v>
      </c>
      <c r="AE4" s="297" t="s">
        <v>204</v>
      </c>
      <c r="AG4" s="45" t="s">
        <v>496</v>
      </c>
      <c r="AI4" s="43" t="s">
        <v>476</v>
      </c>
      <c r="AJ4" s="45" t="s">
        <v>481</v>
      </c>
    </row>
    <row r="5" spans="2:36" ht="15.75" customHeight="1">
      <c r="B5" s="288" t="s">
        <v>101</v>
      </c>
      <c r="C5" s="289">
        <v>116</v>
      </c>
      <c r="D5" s="290">
        <v>0</v>
      </c>
      <c r="E5" s="291">
        <f t="shared" si="0"/>
        <v>0</v>
      </c>
      <c r="F5" s="292"/>
      <c r="G5" s="292"/>
      <c r="I5" s="293"/>
      <c r="J5" s="285"/>
      <c r="K5" s="294" t="s">
        <v>163</v>
      </c>
      <c r="L5" s="294" t="s">
        <v>213</v>
      </c>
      <c r="M5" s="294">
        <f t="shared" ref="M5:M65" si="1">(N5+O5)/2</f>
        <v>15</v>
      </c>
      <c r="N5" s="294">
        <v>8</v>
      </c>
      <c r="O5" s="294">
        <v>22</v>
      </c>
      <c r="P5" s="286"/>
      <c r="R5" s="45" t="s">
        <v>209</v>
      </c>
      <c r="S5" s="45">
        <v>57</v>
      </c>
      <c r="U5" s="45">
        <v>20</v>
      </c>
      <c r="V5" s="45">
        <v>20</v>
      </c>
      <c r="X5" s="45">
        <v>-25</v>
      </c>
      <c r="Y5" s="45">
        <v>-25</v>
      </c>
      <c r="AB5" s="296" t="s">
        <v>115</v>
      </c>
      <c r="AC5" s="296">
        <v>5</v>
      </c>
      <c r="AD5" s="296">
        <v>20</v>
      </c>
      <c r="AE5" s="286">
        <f>(AC5+AD4)/2</f>
        <v>10</v>
      </c>
      <c r="AG5" s="43" t="s">
        <v>205</v>
      </c>
      <c r="AI5" s="45" t="s">
        <v>477</v>
      </c>
      <c r="AJ5" s="45">
        <v>0</v>
      </c>
    </row>
    <row r="6" spans="2:36" ht="15.75" customHeight="1">
      <c r="B6" s="288" t="s">
        <v>102</v>
      </c>
      <c r="C6" s="289">
        <v>120</v>
      </c>
      <c r="D6" s="290">
        <v>0</v>
      </c>
      <c r="E6" s="291">
        <f t="shared" si="0"/>
        <v>0</v>
      </c>
      <c r="F6" s="292"/>
      <c r="G6" s="292"/>
      <c r="I6" s="293"/>
      <c r="J6" s="285"/>
      <c r="K6" s="294" t="s">
        <v>164</v>
      </c>
      <c r="L6" s="294" t="s">
        <v>213</v>
      </c>
      <c r="M6" s="294">
        <f t="shared" si="1"/>
        <v>19</v>
      </c>
      <c r="N6" s="294">
        <v>10</v>
      </c>
      <c r="O6" s="294">
        <v>28</v>
      </c>
      <c r="P6" s="286"/>
      <c r="U6" s="45">
        <v>30</v>
      </c>
      <c r="V6" s="45">
        <v>30</v>
      </c>
      <c r="X6" s="45">
        <v>-20</v>
      </c>
      <c r="Y6" s="45">
        <v>-20</v>
      </c>
      <c r="AB6" s="296" t="s">
        <v>116</v>
      </c>
      <c r="AC6" s="296">
        <v>10</v>
      </c>
      <c r="AD6" s="296"/>
      <c r="AE6" s="286">
        <f>(AC6+AD5)/2</f>
        <v>15</v>
      </c>
      <c r="AG6" s="298">
        <f>INDEX(AE5:AE45,MATCH(Cgroundchange,AB5:AB45,0))</f>
        <v>30</v>
      </c>
      <c r="AI6" s="45" t="s">
        <v>478</v>
      </c>
      <c r="AJ6" s="45">
        <v>26.5</v>
      </c>
    </row>
    <row r="7" spans="2:36">
      <c r="B7" s="288" t="s">
        <v>525</v>
      </c>
      <c r="C7" s="289">
        <v>192</v>
      </c>
      <c r="D7" s="290">
        <v>2.4</v>
      </c>
      <c r="E7" s="291">
        <f t="shared" si="0"/>
        <v>0.66666666666666663</v>
      </c>
      <c r="F7" s="292"/>
      <c r="G7" s="292"/>
      <c r="I7" s="293"/>
      <c r="J7" s="285"/>
      <c r="K7" s="294" t="s">
        <v>165</v>
      </c>
      <c r="L7" s="294" t="s">
        <v>213</v>
      </c>
      <c r="M7" s="294">
        <f t="shared" si="1"/>
        <v>21.5</v>
      </c>
      <c r="N7" s="294">
        <v>16</v>
      </c>
      <c r="O7" s="294">
        <v>27</v>
      </c>
      <c r="P7" s="286"/>
      <c r="S7" s="45" t="s">
        <v>211</v>
      </c>
      <c r="U7" s="45">
        <v>40</v>
      </c>
      <c r="V7" s="45">
        <v>40</v>
      </c>
      <c r="X7" s="45">
        <v>-15</v>
      </c>
      <c r="Y7" s="45">
        <v>-15</v>
      </c>
      <c r="AB7" s="296" t="s">
        <v>117</v>
      </c>
      <c r="AC7" s="295">
        <v>18</v>
      </c>
      <c r="AD7" s="296"/>
      <c r="AE7" s="286">
        <v>18</v>
      </c>
      <c r="AI7" s="45" t="s">
        <v>479</v>
      </c>
      <c r="AJ7" s="45">
        <v>10</v>
      </c>
    </row>
    <row r="8" spans="2:36" ht="15.75" customHeight="1">
      <c r="B8" s="288" t="s">
        <v>103</v>
      </c>
      <c r="C8" s="289">
        <v>204</v>
      </c>
      <c r="D8" s="290">
        <f>5.2</f>
        <v>5.2</v>
      </c>
      <c r="E8" s="291">
        <f t="shared" si="0"/>
        <v>1.4444444444444444</v>
      </c>
      <c r="F8" s="292"/>
      <c r="G8" s="292"/>
      <c r="I8" s="293"/>
      <c r="J8" s="285"/>
      <c r="K8" s="294" t="s">
        <v>166</v>
      </c>
      <c r="L8" s="294" t="s">
        <v>213</v>
      </c>
      <c r="M8" s="294">
        <f t="shared" si="1"/>
        <v>17.5</v>
      </c>
      <c r="N8" s="294">
        <v>8</v>
      </c>
      <c r="O8" s="294">
        <v>27</v>
      </c>
      <c r="P8" s="286"/>
      <c r="S8" s="299">
        <f>INDEX(S3:S5,MATCH(Ccolour,R3:R5,0))</f>
        <v>37</v>
      </c>
      <c r="U8" s="45">
        <v>50</v>
      </c>
      <c r="V8" s="45">
        <v>50</v>
      </c>
      <c r="X8" s="45">
        <v>-10</v>
      </c>
      <c r="Y8" s="45">
        <v>-10</v>
      </c>
      <c r="AB8" s="296" t="s">
        <v>118</v>
      </c>
      <c r="AC8" s="295">
        <v>10</v>
      </c>
      <c r="AD8" s="296">
        <v>35</v>
      </c>
      <c r="AE8" s="286">
        <v>10</v>
      </c>
      <c r="AI8" s="45" t="s">
        <v>480</v>
      </c>
      <c r="AJ8" s="45">
        <v>40</v>
      </c>
    </row>
    <row r="9" spans="2:36" ht="15.75" customHeight="1">
      <c r="B9" s="288" t="s">
        <v>526</v>
      </c>
      <c r="C9" s="289">
        <v>221</v>
      </c>
      <c r="D9" s="290">
        <v>7</v>
      </c>
      <c r="E9" s="291">
        <f t="shared" si="0"/>
        <v>1.9444444444444444</v>
      </c>
      <c r="F9" s="292"/>
      <c r="I9" s="293"/>
      <c r="J9" s="285"/>
      <c r="K9" s="294" t="s">
        <v>167</v>
      </c>
      <c r="L9" s="294" t="s">
        <v>213</v>
      </c>
      <c r="M9" s="294">
        <f t="shared" si="1"/>
        <v>22.5</v>
      </c>
      <c r="N9" s="294">
        <v>20</v>
      </c>
      <c r="O9" s="294">
        <v>25</v>
      </c>
      <c r="P9" s="286"/>
      <c r="U9" s="45">
        <v>60</v>
      </c>
      <c r="V9" s="45">
        <v>60</v>
      </c>
      <c r="X9" s="45">
        <v>-5</v>
      </c>
      <c r="Y9" s="45">
        <v>-5</v>
      </c>
      <c r="AB9" s="296" t="s">
        <v>119</v>
      </c>
      <c r="AC9" s="296">
        <v>25</v>
      </c>
      <c r="AD9" s="296">
        <v>30</v>
      </c>
      <c r="AE9" s="286">
        <f>(AC9+AD8)/2</f>
        <v>30</v>
      </c>
      <c r="AI9" s="45" t="s">
        <v>505</v>
      </c>
      <c r="AJ9" s="45">
        <v>55</v>
      </c>
    </row>
    <row r="10" spans="2:36" ht="16.5" customHeight="1">
      <c r="B10" s="288" t="s">
        <v>527</v>
      </c>
      <c r="C10" s="289">
        <v>349</v>
      </c>
      <c r="D10" s="290">
        <v>17.600000000000001</v>
      </c>
      <c r="E10" s="291">
        <f t="shared" si="0"/>
        <v>4.8888888888888893</v>
      </c>
      <c r="F10" s="292"/>
      <c r="I10" s="293"/>
      <c r="J10" s="285"/>
      <c r="K10" s="294" t="s">
        <v>168</v>
      </c>
      <c r="L10" s="294" t="s">
        <v>213</v>
      </c>
      <c r="M10" s="294">
        <f t="shared" si="1"/>
        <v>19</v>
      </c>
      <c r="N10" s="294">
        <v>14</v>
      </c>
      <c r="O10" s="294">
        <v>24</v>
      </c>
      <c r="P10" s="286"/>
      <c r="Q10" s="281" t="s">
        <v>500</v>
      </c>
      <c r="U10" s="45">
        <v>70</v>
      </c>
      <c r="V10" s="45">
        <v>70</v>
      </c>
      <c r="X10" s="45">
        <v>0</v>
      </c>
      <c r="Y10" s="45">
        <v>0</v>
      </c>
      <c r="AB10" s="296" t="s">
        <v>120</v>
      </c>
      <c r="AC10" s="296">
        <v>20</v>
      </c>
      <c r="AD10" s="296">
        <v>75</v>
      </c>
      <c r="AE10" s="286">
        <f>(AC10+AD9)/2</f>
        <v>25</v>
      </c>
      <c r="AI10" s="45" t="s">
        <v>506</v>
      </c>
      <c r="AJ10" s="45">
        <v>80</v>
      </c>
    </row>
    <row r="11" spans="2:36" ht="15.75" customHeight="1">
      <c r="B11" s="288" t="s">
        <v>528</v>
      </c>
      <c r="C11" s="289">
        <v>581</v>
      </c>
      <c r="D11" s="290">
        <v>24</v>
      </c>
      <c r="E11" s="291">
        <f t="shared" si="0"/>
        <v>6.6666666666666661</v>
      </c>
      <c r="F11" s="292"/>
      <c r="K11" s="294" t="s">
        <v>169</v>
      </c>
      <c r="L11" s="294" t="s">
        <v>213</v>
      </c>
      <c r="M11" s="294">
        <f t="shared" si="1"/>
        <v>21.5</v>
      </c>
      <c r="N11" s="294">
        <v>15</v>
      </c>
      <c r="O11" s="294">
        <v>28</v>
      </c>
      <c r="P11" s="286"/>
      <c r="Q11" s="300">
        <f>SUMPRODUCT(--(K4:K65=Ctree),--(L4:L65=CLeaf),(M4:M65))</f>
        <v>100</v>
      </c>
      <c r="U11" s="45">
        <v>80</v>
      </c>
      <c r="V11" s="45">
        <v>80</v>
      </c>
      <c r="X11" s="45">
        <v>5</v>
      </c>
      <c r="Y11" s="45">
        <v>5</v>
      </c>
      <c r="AB11" s="296" t="s">
        <v>121</v>
      </c>
      <c r="AC11" s="296">
        <v>30</v>
      </c>
      <c r="AD11" s="296"/>
      <c r="AE11" s="286">
        <f>(AC11+AD10)/2</f>
        <v>52.5</v>
      </c>
      <c r="AI11" s="45" t="s">
        <v>507</v>
      </c>
      <c r="AJ11" s="45">
        <v>5</v>
      </c>
    </row>
    <row r="12" spans="2:36" ht="15" customHeight="1">
      <c r="B12" s="288" t="s">
        <v>529</v>
      </c>
      <c r="C12" s="289">
        <v>698</v>
      </c>
      <c r="D12" s="290">
        <f>(30.4+25.6)/2</f>
        <v>28</v>
      </c>
      <c r="E12" s="291">
        <f t="shared" si="0"/>
        <v>7.7777777777777777</v>
      </c>
      <c r="F12" s="292"/>
      <c r="K12" s="294" t="s">
        <v>170</v>
      </c>
      <c r="L12" s="294" t="s">
        <v>213</v>
      </c>
      <c r="M12" s="294">
        <f t="shared" si="1"/>
        <v>27</v>
      </c>
      <c r="N12" s="294">
        <v>24</v>
      </c>
      <c r="O12" s="294">
        <v>30</v>
      </c>
      <c r="P12" s="286"/>
      <c r="U12" s="45">
        <v>90</v>
      </c>
      <c r="V12" s="45">
        <v>90</v>
      </c>
      <c r="X12" s="45">
        <v>10</v>
      </c>
      <c r="Y12" s="45">
        <v>10</v>
      </c>
      <c r="AB12" s="296" t="s">
        <v>122</v>
      </c>
      <c r="AC12" s="295">
        <v>10</v>
      </c>
      <c r="AD12" s="296"/>
      <c r="AE12" s="286">
        <v>10</v>
      </c>
      <c r="AI12" s="43"/>
    </row>
    <row r="13" spans="2:36" ht="15" customHeight="1">
      <c r="B13" s="288" t="s">
        <v>104</v>
      </c>
      <c r="C13" s="301">
        <v>145.38</v>
      </c>
      <c r="D13" s="290">
        <v>0</v>
      </c>
      <c r="E13" s="291">
        <f t="shared" si="0"/>
        <v>0</v>
      </c>
      <c r="F13" s="292"/>
      <c r="K13" s="294" t="s">
        <v>171</v>
      </c>
      <c r="L13" s="294" t="s">
        <v>213</v>
      </c>
      <c r="M13" s="294">
        <f t="shared" si="1"/>
        <v>11</v>
      </c>
      <c r="N13" s="294">
        <v>7</v>
      </c>
      <c r="O13" s="294">
        <v>15</v>
      </c>
      <c r="P13" s="286"/>
      <c r="U13" s="45">
        <v>100</v>
      </c>
      <c r="V13" s="45">
        <v>100</v>
      </c>
      <c r="X13" s="45">
        <v>15</v>
      </c>
      <c r="Y13" s="45">
        <v>15</v>
      </c>
      <c r="AB13" s="296" t="s">
        <v>123</v>
      </c>
      <c r="AC13" s="295">
        <v>18</v>
      </c>
      <c r="AD13" s="295">
        <v>26</v>
      </c>
      <c r="AE13" s="286">
        <v>18</v>
      </c>
      <c r="AI13" s="43" t="s">
        <v>501</v>
      </c>
      <c r="AJ13" s="298">
        <f>INDEX(AJ5:AJ11,MATCH(SkyAlb,AI5:AI11,0))</f>
        <v>0</v>
      </c>
    </row>
    <row r="14" spans="2:36" ht="18" customHeight="1">
      <c r="B14" s="288" t="s">
        <v>530</v>
      </c>
      <c r="C14" s="289">
        <v>523</v>
      </c>
      <c r="D14" s="290">
        <v>8.4</v>
      </c>
      <c r="E14" s="291">
        <f t="shared" si="0"/>
        <v>2.3333333333333335</v>
      </c>
      <c r="F14" s="292"/>
      <c r="G14" s="23" t="s">
        <v>499</v>
      </c>
      <c r="H14" s="22"/>
      <c r="I14" s="22"/>
      <c r="K14" s="294" t="s">
        <v>172</v>
      </c>
      <c r="L14" s="294" t="s">
        <v>213</v>
      </c>
      <c r="M14" s="294">
        <f t="shared" si="1"/>
        <v>19.5</v>
      </c>
      <c r="N14" s="294">
        <v>10</v>
      </c>
      <c r="O14" s="294">
        <v>29</v>
      </c>
      <c r="P14" s="286"/>
      <c r="X14" s="45">
        <v>20</v>
      </c>
      <c r="Y14" s="45">
        <v>20</v>
      </c>
      <c r="AB14" s="296" t="s">
        <v>124</v>
      </c>
      <c r="AC14" s="295">
        <v>24</v>
      </c>
      <c r="AD14" s="296">
        <v>15</v>
      </c>
      <c r="AE14" s="286">
        <f t="shared" ref="AE14:AE34" si="2">(AC14+AD13)/2</f>
        <v>25</v>
      </c>
    </row>
    <row r="15" spans="2:36" ht="15" customHeight="1">
      <c r="B15" s="288" t="s">
        <v>531</v>
      </c>
      <c r="C15" s="289">
        <v>670</v>
      </c>
      <c r="D15" s="290">
        <v>11.3</v>
      </c>
      <c r="E15" s="291">
        <f t="shared" si="0"/>
        <v>3.1388888888888888</v>
      </c>
      <c r="F15" s="292"/>
      <c r="G15" s="71" t="s">
        <v>245</v>
      </c>
      <c r="H15" s="22"/>
      <c r="I15" s="72" t="s">
        <v>245</v>
      </c>
      <c r="K15" s="294" t="s">
        <v>173</v>
      </c>
      <c r="L15" s="294" t="s">
        <v>213</v>
      </c>
      <c r="M15" s="294">
        <f t="shared" si="1"/>
        <v>37.5</v>
      </c>
      <c r="N15" s="294">
        <v>25</v>
      </c>
      <c r="O15" s="294">
        <v>50</v>
      </c>
      <c r="P15" s="286"/>
      <c r="T15" s="45" t="s">
        <v>496</v>
      </c>
      <c r="U15" s="299">
        <f>INDEX(V3:V13,MATCH(CV,U3:U13,0))</f>
        <v>10</v>
      </c>
      <c r="X15" s="45">
        <v>25</v>
      </c>
      <c r="Y15" s="45">
        <v>25</v>
      </c>
      <c r="AB15" s="296" t="s">
        <v>125</v>
      </c>
      <c r="AC15" s="296">
        <v>3</v>
      </c>
      <c r="AD15" s="295">
        <v>26</v>
      </c>
      <c r="AE15" s="286">
        <f t="shared" si="2"/>
        <v>9</v>
      </c>
    </row>
    <row r="16" spans="2:36" ht="13.8">
      <c r="B16" s="288" t="s">
        <v>532</v>
      </c>
      <c r="C16" s="289">
        <v>814</v>
      </c>
      <c r="D16" s="290">
        <v>13.8</v>
      </c>
      <c r="E16" s="291">
        <f t="shared" si="0"/>
        <v>3.8333333333333335</v>
      </c>
      <c r="F16" s="292"/>
      <c r="G16" s="77" t="s">
        <v>198</v>
      </c>
      <c r="H16" s="22"/>
      <c r="I16" s="302" t="s">
        <v>262</v>
      </c>
      <c r="K16" s="294" t="s">
        <v>174</v>
      </c>
      <c r="L16" s="294" t="s">
        <v>213</v>
      </c>
      <c r="M16" s="294">
        <v>9</v>
      </c>
      <c r="N16" s="294">
        <v>9</v>
      </c>
      <c r="O16" s="294"/>
      <c r="P16" s="286"/>
      <c r="X16" s="45">
        <v>30</v>
      </c>
      <c r="Y16" s="45">
        <v>30</v>
      </c>
      <c r="AB16" s="296" t="s">
        <v>126</v>
      </c>
      <c r="AC16" s="295">
        <v>16</v>
      </c>
      <c r="AD16" s="296">
        <v>30</v>
      </c>
      <c r="AE16" s="286">
        <f t="shared" si="2"/>
        <v>21</v>
      </c>
    </row>
    <row r="17" spans="2:31" ht="13.5" customHeight="1">
      <c r="B17" s="288" t="s">
        <v>105</v>
      </c>
      <c r="C17" s="289">
        <v>465.2</v>
      </c>
      <c r="D17" s="290">
        <v>15</v>
      </c>
      <c r="E17" s="291">
        <f t="shared" si="0"/>
        <v>4.166666666666667</v>
      </c>
      <c r="F17" s="292"/>
      <c r="G17" s="298">
        <f>INDEX(C3:C26,MATCH(CA,B3:B26,0))</f>
        <v>116</v>
      </c>
      <c r="H17" s="22"/>
      <c r="I17" s="303">
        <f>INDEX(E3:E26,MATCH(CA,B3:B26,0))</f>
        <v>0</v>
      </c>
      <c r="K17" s="294" t="s">
        <v>175</v>
      </c>
      <c r="L17" s="294" t="s">
        <v>213</v>
      </c>
      <c r="M17" s="294">
        <v>10</v>
      </c>
      <c r="N17" s="294">
        <v>10</v>
      </c>
      <c r="O17" s="294"/>
      <c r="P17" s="286"/>
      <c r="AB17" s="296" t="s">
        <v>127</v>
      </c>
      <c r="AC17" s="296">
        <v>10</v>
      </c>
      <c r="AD17" s="296">
        <v>20</v>
      </c>
      <c r="AE17" s="286">
        <f t="shared" si="2"/>
        <v>20</v>
      </c>
    </row>
    <row r="18" spans="2:31" ht="18" customHeight="1">
      <c r="B18" s="288" t="s">
        <v>106</v>
      </c>
      <c r="C18" s="289">
        <v>261.67500000000001</v>
      </c>
      <c r="D18" s="290">
        <v>2.4</v>
      </c>
      <c r="E18" s="291">
        <f t="shared" si="0"/>
        <v>0.66666666666666663</v>
      </c>
      <c r="F18" s="292"/>
      <c r="G18" s="23" t="s">
        <v>246</v>
      </c>
      <c r="H18" s="22"/>
      <c r="I18" s="23" t="s">
        <v>246</v>
      </c>
      <c r="K18" s="294" t="s">
        <v>176</v>
      </c>
      <c r="L18" s="294" t="s">
        <v>213</v>
      </c>
      <c r="M18" s="294">
        <f t="shared" si="1"/>
        <v>20.5</v>
      </c>
      <c r="N18" s="294">
        <v>13</v>
      </c>
      <c r="O18" s="294">
        <v>28</v>
      </c>
      <c r="P18" s="286"/>
      <c r="W18" s="45" t="s">
        <v>496</v>
      </c>
      <c r="X18" s="299" t="e">
        <f>INDEX(Y3:Y16,MATCH(CTemp,X3:X16,0))</f>
        <v>#N/A</v>
      </c>
      <c r="AB18" s="296" t="s">
        <v>128</v>
      </c>
      <c r="AC18" s="296">
        <v>15</v>
      </c>
      <c r="AD18" s="296">
        <v>30</v>
      </c>
      <c r="AE18" s="286">
        <f t="shared" si="2"/>
        <v>17.5</v>
      </c>
    </row>
    <row r="19" spans="2:31">
      <c r="B19" s="288" t="s">
        <v>107</v>
      </c>
      <c r="C19" s="289">
        <v>465.2</v>
      </c>
      <c r="D19" s="290">
        <v>0</v>
      </c>
      <c r="E19" s="291">
        <f t="shared" si="0"/>
        <v>0</v>
      </c>
      <c r="F19" s="292"/>
      <c r="G19" s="77" t="s">
        <v>198</v>
      </c>
      <c r="H19" s="22"/>
      <c r="I19" s="302" t="s">
        <v>262</v>
      </c>
      <c r="K19" s="294" t="s">
        <v>177</v>
      </c>
      <c r="L19" s="294" t="s">
        <v>213</v>
      </c>
      <c r="M19" s="294">
        <f t="shared" si="1"/>
        <v>27.5</v>
      </c>
      <c r="N19" s="294">
        <v>25</v>
      </c>
      <c r="O19" s="294">
        <v>30</v>
      </c>
      <c r="P19" s="286"/>
      <c r="AB19" s="296" t="s">
        <v>129</v>
      </c>
      <c r="AC19" s="296">
        <v>25</v>
      </c>
      <c r="AD19" s="296">
        <v>20</v>
      </c>
      <c r="AE19" s="286">
        <f t="shared" si="2"/>
        <v>27.5</v>
      </c>
    </row>
    <row r="20" spans="2:31">
      <c r="B20" s="288" t="s">
        <v>108</v>
      </c>
      <c r="C20" s="289">
        <v>261.67500000000001</v>
      </c>
      <c r="D20" s="290">
        <v>0</v>
      </c>
      <c r="E20" s="291">
        <f t="shared" si="0"/>
        <v>0</v>
      </c>
      <c r="F20" s="292"/>
      <c r="G20" s="304">
        <f>INDEX(C3:C26,MATCH(CActivity2,B3:B26,0))</f>
        <v>116</v>
      </c>
      <c r="H20" s="22"/>
      <c r="I20" s="303">
        <f>INDEX(E3:E26,MATCH(CActivity2,B3:B26,0))</f>
        <v>0</v>
      </c>
      <c r="K20" s="294" t="s">
        <v>178</v>
      </c>
      <c r="L20" s="294" t="s">
        <v>213</v>
      </c>
      <c r="M20" s="294">
        <f t="shared" si="1"/>
        <v>14</v>
      </c>
      <c r="N20" s="294">
        <v>11</v>
      </c>
      <c r="O20" s="294">
        <v>17</v>
      </c>
      <c r="P20" s="286"/>
      <c r="AB20" s="296" t="s">
        <v>130</v>
      </c>
      <c r="AC20" s="296">
        <v>5</v>
      </c>
      <c r="AD20" s="296">
        <v>20</v>
      </c>
      <c r="AE20" s="286">
        <f t="shared" si="2"/>
        <v>12.5</v>
      </c>
    </row>
    <row r="21" spans="2:31">
      <c r="B21" s="288" t="s">
        <v>494</v>
      </c>
      <c r="C21" s="289">
        <v>581.5</v>
      </c>
      <c r="D21" s="290">
        <v>13</v>
      </c>
      <c r="E21" s="291">
        <f t="shared" si="0"/>
        <v>3.6111111111111112</v>
      </c>
      <c r="F21" s="292"/>
      <c r="G21" s="292"/>
      <c r="K21" s="294" t="s">
        <v>179</v>
      </c>
      <c r="L21" s="294" t="s">
        <v>213</v>
      </c>
      <c r="M21" s="294">
        <f t="shared" si="1"/>
        <v>15</v>
      </c>
      <c r="N21" s="294">
        <v>10</v>
      </c>
      <c r="O21" s="294">
        <v>20</v>
      </c>
      <c r="P21" s="286"/>
      <c r="AB21" s="296" t="s">
        <v>131</v>
      </c>
      <c r="AC21" s="296">
        <v>10</v>
      </c>
      <c r="AD21" s="296">
        <v>16</v>
      </c>
      <c r="AE21" s="286">
        <f t="shared" si="2"/>
        <v>15</v>
      </c>
    </row>
    <row r="22" spans="2:31">
      <c r="B22" s="288" t="s">
        <v>109</v>
      </c>
      <c r="C22" s="289">
        <v>581.5</v>
      </c>
      <c r="D22" s="290">
        <v>0</v>
      </c>
      <c r="E22" s="291">
        <f t="shared" si="0"/>
        <v>0</v>
      </c>
      <c r="F22" s="292"/>
      <c r="K22" s="294" t="s">
        <v>180</v>
      </c>
      <c r="L22" s="294" t="s">
        <v>213</v>
      </c>
      <c r="M22" s="294">
        <f t="shared" si="1"/>
        <v>26.5</v>
      </c>
      <c r="N22" s="294">
        <v>20</v>
      </c>
      <c r="O22" s="294">
        <v>33</v>
      </c>
      <c r="P22" s="286"/>
      <c r="AB22" s="296" t="s">
        <v>132</v>
      </c>
      <c r="AC22" s="296">
        <v>5</v>
      </c>
      <c r="AD22" s="296">
        <v>12</v>
      </c>
      <c r="AE22" s="286">
        <f t="shared" si="2"/>
        <v>10.5</v>
      </c>
    </row>
    <row r="23" spans="2:31" ht="15.75" customHeight="1">
      <c r="B23" s="288" t="s">
        <v>110</v>
      </c>
      <c r="C23" s="289">
        <v>465.2</v>
      </c>
      <c r="D23" s="290">
        <v>0</v>
      </c>
      <c r="E23" s="291">
        <f t="shared" si="0"/>
        <v>0</v>
      </c>
      <c r="F23" s="292"/>
      <c r="K23" s="294" t="s">
        <v>181</v>
      </c>
      <c r="L23" s="294" t="s">
        <v>213</v>
      </c>
      <c r="M23" s="294">
        <f t="shared" si="1"/>
        <v>25.5</v>
      </c>
      <c r="N23" s="294">
        <v>13</v>
      </c>
      <c r="O23" s="294">
        <v>38</v>
      </c>
      <c r="P23" s="286"/>
      <c r="AB23" s="296" t="s">
        <v>133</v>
      </c>
      <c r="AC23" s="296">
        <v>12</v>
      </c>
      <c r="AD23" s="296">
        <v>5</v>
      </c>
      <c r="AE23" s="286">
        <f t="shared" si="2"/>
        <v>12</v>
      </c>
    </row>
    <row r="24" spans="2:31" ht="14.25" customHeight="1">
      <c r="B24" s="288" t="s">
        <v>111</v>
      </c>
      <c r="C24" s="289">
        <v>319.82499999999999</v>
      </c>
      <c r="D24" s="290">
        <v>0</v>
      </c>
      <c r="E24" s="291">
        <f t="shared" si="0"/>
        <v>0</v>
      </c>
      <c r="F24" s="292"/>
      <c r="K24" s="294" t="s">
        <v>182</v>
      </c>
      <c r="L24" s="294" t="s">
        <v>213</v>
      </c>
      <c r="M24" s="294">
        <f t="shared" si="1"/>
        <v>17.5</v>
      </c>
      <c r="N24" s="294">
        <v>12</v>
      </c>
      <c r="O24" s="294">
        <v>23</v>
      </c>
      <c r="P24" s="286"/>
      <c r="AB24" s="296" t="s">
        <v>134</v>
      </c>
      <c r="AC24" s="296">
        <v>5</v>
      </c>
      <c r="AD24" s="296">
        <v>95</v>
      </c>
      <c r="AE24" s="286">
        <f t="shared" si="2"/>
        <v>5</v>
      </c>
    </row>
    <row r="25" spans="2:31" ht="15.75" customHeight="1">
      <c r="B25" s="288" t="s">
        <v>112</v>
      </c>
      <c r="C25" s="289">
        <v>250.04499999999999</v>
      </c>
      <c r="D25" s="290">
        <v>0</v>
      </c>
      <c r="E25" s="291">
        <f t="shared" si="0"/>
        <v>0</v>
      </c>
      <c r="F25" s="292"/>
      <c r="K25" s="294" t="s">
        <v>183</v>
      </c>
      <c r="L25" s="294" t="s">
        <v>213</v>
      </c>
      <c r="M25" s="294">
        <f t="shared" si="1"/>
        <v>14.5</v>
      </c>
      <c r="N25" s="294">
        <v>7</v>
      </c>
      <c r="O25" s="294">
        <v>22</v>
      </c>
      <c r="P25" s="286"/>
      <c r="AB25" s="296" t="s">
        <v>135</v>
      </c>
      <c r="AC25" s="296">
        <v>95</v>
      </c>
      <c r="AD25" s="296">
        <v>95</v>
      </c>
      <c r="AE25" s="286">
        <f t="shared" si="2"/>
        <v>95</v>
      </c>
    </row>
    <row r="26" spans="2:31" ht="14.25" customHeight="1">
      <c r="B26" s="288" t="s">
        <v>113</v>
      </c>
      <c r="C26" s="289">
        <v>600</v>
      </c>
      <c r="D26" s="290">
        <v>0</v>
      </c>
      <c r="E26" s="291">
        <f t="shared" si="0"/>
        <v>0</v>
      </c>
      <c r="F26" s="292"/>
      <c r="K26" s="294" t="s">
        <v>184</v>
      </c>
      <c r="L26" s="294" t="s">
        <v>213</v>
      </c>
      <c r="M26" s="294">
        <v>13</v>
      </c>
      <c r="N26" s="294">
        <v>13</v>
      </c>
      <c r="O26" s="294"/>
      <c r="P26" s="286"/>
      <c r="AB26" s="296" t="s">
        <v>136</v>
      </c>
      <c r="AC26" s="296">
        <v>70</v>
      </c>
      <c r="AD26" s="296">
        <v>70</v>
      </c>
      <c r="AE26" s="286">
        <f t="shared" si="2"/>
        <v>82.5</v>
      </c>
    </row>
    <row r="27" spans="2:31" ht="20.25" customHeight="1">
      <c r="K27" s="294" t="s">
        <v>229</v>
      </c>
      <c r="L27" s="294" t="s">
        <v>213</v>
      </c>
      <c r="M27" s="294">
        <v>0</v>
      </c>
      <c r="N27" s="294"/>
      <c r="O27" s="294"/>
      <c r="P27" s="286"/>
      <c r="AB27" s="296" t="s">
        <v>137</v>
      </c>
      <c r="AC27" s="296">
        <v>40</v>
      </c>
      <c r="AD27" s="296"/>
      <c r="AE27" s="286">
        <f t="shared" si="2"/>
        <v>55</v>
      </c>
    </row>
    <row r="28" spans="2:31">
      <c r="K28" s="294" t="s">
        <v>230</v>
      </c>
      <c r="L28" s="294" t="s">
        <v>213</v>
      </c>
      <c r="M28" s="294">
        <v>50</v>
      </c>
      <c r="N28" s="294"/>
      <c r="O28" s="294"/>
      <c r="P28" s="286"/>
      <c r="AB28" s="296" t="s">
        <v>203</v>
      </c>
      <c r="AC28" s="296"/>
      <c r="AD28" s="296">
        <v>15</v>
      </c>
      <c r="AE28" s="286">
        <f t="shared" si="2"/>
        <v>0</v>
      </c>
    </row>
    <row r="29" spans="2:31">
      <c r="K29" s="294" t="s">
        <v>235</v>
      </c>
      <c r="L29" s="294" t="s">
        <v>213</v>
      </c>
      <c r="M29" s="294">
        <v>100</v>
      </c>
      <c r="N29" s="294"/>
      <c r="O29" s="294"/>
      <c r="P29" s="286"/>
      <c r="AB29" s="296" t="s">
        <v>138</v>
      </c>
      <c r="AC29" s="296">
        <v>5</v>
      </c>
      <c r="AD29" s="296">
        <v>50</v>
      </c>
      <c r="AE29" s="286">
        <f t="shared" si="2"/>
        <v>10</v>
      </c>
    </row>
    <row r="30" spans="2:31">
      <c r="B30" s="305"/>
      <c r="C30" s="297" t="s">
        <v>199</v>
      </c>
      <c r="D30" s="297" t="s">
        <v>200</v>
      </c>
      <c r="E30" s="306"/>
      <c r="F30" s="307"/>
      <c r="K30" s="294" t="s">
        <v>238</v>
      </c>
      <c r="L30" s="294" t="s">
        <v>213</v>
      </c>
      <c r="M30" s="294">
        <v>19</v>
      </c>
      <c r="N30" s="294"/>
      <c r="O30" s="294"/>
      <c r="P30" s="286"/>
      <c r="AB30" s="296" t="s">
        <v>139</v>
      </c>
      <c r="AC30" s="296">
        <v>10</v>
      </c>
      <c r="AD30" s="296">
        <v>50</v>
      </c>
      <c r="AE30" s="286">
        <f>(AC30+AD29)/2</f>
        <v>30</v>
      </c>
    </row>
    <row r="31" spans="2:31">
      <c r="B31" s="308"/>
      <c r="C31" s="286"/>
      <c r="D31" s="286"/>
      <c r="F31" s="309"/>
      <c r="K31" s="310" t="s">
        <v>482</v>
      </c>
      <c r="L31" s="294" t="s">
        <v>213</v>
      </c>
      <c r="M31" s="294">
        <f>(N31+O31)/2</f>
        <v>27.5</v>
      </c>
      <c r="N31" s="310">
        <v>25</v>
      </c>
      <c r="O31" s="310">
        <v>30</v>
      </c>
      <c r="P31" s="286"/>
      <c r="AB31" s="296" t="s">
        <v>140</v>
      </c>
      <c r="AC31" s="296">
        <v>20</v>
      </c>
      <c r="AD31" s="296">
        <v>35</v>
      </c>
      <c r="AE31" s="286">
        <f t="shared" si="2"/>
        <v>35</v>
      </c>
    </row>
    <row r="32" spans="2:31">
      <c r="B32" s="308"/>
      <c r="C32" s="286" t="s">
        <v>252</v>
      </c>
      <c r="D32" s="286">
        <v>0.2</v>
      </c>
      <c r="F32" s="309"/>
      <c r="K32" s="310" t="s">
        <v>483</v>
      </c>
      <c r="L32" s="294" t="s">
        <v>213</v>
      </c>
      <c r="M32" s="294">
        <f t="shared" ref="M32:M38" si="3">(N32+O32)/2</f>
        <v>22.5</v>
      </c>
      <c r="N32" s="310">
        <v>20</v>
      </c>
      <c r="O32" s="310">
        <v>25</v>
      </c>
      <c r="P32" s="286"/>
      <c r="AB32" s="296" t="s">
        <v>141</v>
      </c>
      <c r="AC32" s="296">
        <v>20</v>
      </c>
      <c r="AD32" s="296">
        <v>18</v>
      </c>
      <c r="AE32" s="286">
        <f t="shared" si="2"/>
        <v>27.5</v>
      </c>
    </row>
    <row r="33" spans="2:31" ht="22.5" customHeight="1">
      <c r="B33" s="308"/>
      <c r="C33" s="286" t="s">
        <v>253</v>
      </c>
      <c r="D33" s="286">
        <v>0.4</v>
      </c>
      <c r="F33" s="309"/>
      <c r="K33" s="310" t="s">
        <v>484</v>
      </c>
      <c r="L33" s="294" t="s">
        <v>213</v>
      </c>
      <c r="M33" s="294">
        <f t="shared" si="3"/>
        <v>19</v>
      </c>
      <c r="N33" s="310">
        <v>10</v>
      </c>
      <c r="O33" s="310">
        <v>28</v>
      </c>
      <c r="P33" s="286"/>
      <c r="AB33" s="296" t="s">
        <v>142</v>
      </c>
      <c r="AC33" s="296">
        <v>8</v>
      </c>
      <c r="AD33" s="296">
        <v>35</v>
      </c>
      <c r="AE33" s="286">
        <f t="shared" si="2"/>
        <v>13</v>
      </c>
    </row>
    <row r="34" spans="2:31">
      <c r="B34" s="308"/>
      <c r="C34" s="286" t="s">
        <v>254</v>
      </c>
      <c r="D34" s="286">
        <v>0.6</v>
      </c>
      <c r="F34" s="309"/>
      <c r="K34" s="310" t="s">
        <v>485</v>
      </c>
      <c r="L34" s="294" t="s">
        <v>213</v>
      </c>
      <c r="M34" s="294">
        <f t="shared" si="3"/>
        <v>27.5</v>
      </c>
      <c r="N34" s="310">
        <v>25</v>
      </c>
      <c r="O34" s="310">
        <v>30</v>
      </c>
      <c r="P34" s="286"/>
      <c r="AB34" s="296" t="s">
        <v>143</v>
      </c>
      <c r="AC34" s="296">
        <v>10</v>
      </c>
      <c r="AD34" s="296"/>
      <c r="AE34" s="286">
        <f t="shared" si="2"/>
        <v>22.5</v>
      </c>
    </row>
    <row r="35" spans="2:31">
      <c r="B35" s="308"/>
      <c r="C35" s="286" t="s">
        <v>255</v>
      </c>
      <c r="D35" s="286">
        <v>0.8</v>
      </c>
      <c r="F35" s="309"/>
      <c r="K35" s="310" t="s">
        <v>482</v>
      </c>
      <c r="L35" s="294" t="s">
        <v>214</v>
      </c>
      <c r="M35" s="294">
        <f t="shared" si="3"/>
        <v>27.5</v>
      </c>
      <c r="N35" s="310">
        <v>25</v>
      </c>
      <c r="O35" s="310">
        <v>30</v>
      </c>
      <c r="P35" s="286"/>
      <c r="AB35" s="296" t="s">
        <v>144</v>
      </c>
      <c r="AC35" s="296">
        <v>10</v>
      </c>
      <c r="AD35" s="296">
        <v>20</v>
      </c>
      <c r="AE35" s="286">
        <v>10</v>
      </c>
    </row>
    <row r="36" spans="2:31" ht="17.25" customHeight="1">
      <c r="B36" s="308"/>
      <c r="C36" s="286" t="s">
        <v>250</v>
      </c>
      <c r="D36" s="286">
        <v>0.5</v>
      </c>
      <c r="F36" s="309"/>
      <c r="K36" s="310" t="s">
        <v>483</v>
      </c>
      <c r="L36" s="294" t="s">
        <v>214</v>
      </c>
      <c r="M36" s="294">
        <v>57</v>
      </c>
      <c r="N36" s="310"/>
      <c r="O36" s="310">
        <v>57</v>
      </c>
      <c r="P36" s="286"/>
      <c r="AB36" s="296" t="s">
        <v>145</v>
      </c>
      <c r="AC36" s="296">
        <v>15</v>
      </c>
      <c r="AD36" s="296">
        <v>16</v>
      </c>
      <c r="AE36" s="286">
        <f>(AC36+AD35)/2</f>
        <v>17.5</v>
      </c>
    </row>
    <row r="37" spans="2:31" ht="15.75" customHeight="1">
      <c r="B37" s="308"/>
      <c r="C37" s="286" t="s">
        <v>251</v>
      </c>
      <c r="D37" s="286">
        <v>0.5</v>
      </c>
      <c r="F37" s="309"/>
      <c r="K37" s="310" t="s">
        <v>484</v>
      </c>
      <c r="L37" s="294" t="s">
        <v>214</v>
      </c>
      <c r="M37" s="294">
        <f t="shared" si="3"/>
        <v>73.5</v>
      </c>
      <c r="N37" s="310">
        <v>60</v>
      </c>
      <c r="O37" s="310">
        <v>87</v>
      </c>
      <c r="P37" s="286"/>
      <c r="AB37" s="296" t="s">
        <v>146</v>
      </c>
      <c r="AC37" s="296">
        <v>10</v>
      </c>
      <c r="AD37" s="296">
        <v>90</v>
      </c>
      <c r="AE37" s="286">
        <f>(AC37+AD36)/2</f>
        <v>13</v>
      </c>
    </row>
    <row r="38" spans="2:31" ht="21.75" customHeight="1">
      <c r="B38" s="308"/>
      <c r="C38" s="286" t="s">
        <v>256</v>
      </c>
      <c r="D38" s="286">
        <v>1</v>
      </c>
      <c r="F38" s="309"/>
      <c r="K38" s="310" t="s">
        <v>485</v>
      </c>
      <c r="L38" s="294" t="s">
        <v>214</v>
      </c>
      <c r="M38" s="294">
        <f t="shared" si="3"/>
        <v>27.5</v>
      </c>
      <c r="N38" s="310">
        <v>25</v>
      </c>
      <c r="O38" s="310">
        <v>30</v>
      </c>
      <c r="P38" s="286"/>
      <c r="AB38" s="296" t="s">
        <v>147</v>
      </c>
      <c r="AC38" s="296">
        <v>50</v>
      </c>
      <c r="AD38" s="296">
        <v>35</v>
      </c>
      <c r="AE38" s="286">
        <f>(AC38+AD37)/2</f>
        <v>70</v>
      </c>
    </row>
    <row r="39" spans="2:31" ht="22.5" customHeight="1">
      <c r="B39" s="311"/>
      <c r="F39" s="309"/>
      <c r="K39" s="294" t="s">
        <v>238</v>
      </c>
      <c r="L39" s="294" t="s">
        <v>214</v>
      </c>
      <c r="M39" s="294">
        <v>73.5</v>
      </c>
      <c r="N39" s="294"/>
      <c r="O39" s="294"/>
      <c r="P39" s="286"/>
      <c r="AB39" s="296" t="s">
        <v>148</v>
      </c>
      <c r="AC39" s="296">
        <v>20</v>
      </c>
      <c r="AD39" s="296">
        <v>15</v>
      </c>
      <c r="AE39" s="286">
        <f>(AC39+AD38)/2</f>
        <v>27.5</v>
      </c>
    </row>
    <row r="40" spans="2:31">
      <c r="B40" s="311"/>
      <c r="C40" s="45" t="s">
        <v>496</v>
      </c>
      <c r="F40" s="309"/>
      <c r="K40" s="294" t="s">
        <v>235</v>
      </c>
      <c r="L40" s="294" t="s">
        <v>214</v>
      </c>
      <c r="M40" s="294">
        <v>100</v>
      </c>
      <c r="N40" s="294"/>
      <c r="O40" s="294"/>
      <c r="P40" s="286"/>
      <c r="AB40" s="296" t="s">
        <v>149</v>
      </c>
      <c r="AC40" s="296">
        <v>2</v>
      </c>
      <c r="AD40" s="296"/>
      <c r="AE40" s="286">
        <f>(AC40+AD39)/2</f>
        <v>8.5</v>
      </c>
    </row>
    <row r="41" spans="2:31" ht="17.25" customHeight="1" thickBot="1">
      <c r="B41" s="311"/>
      <c r="C41" s="43" t="s">
        <v>201</v>
      </c>
      <c r="F41" s="312" t="s">
        <v>245</v>
      </c>
      <c r="K41" s="294" t="s">
        <v>230</v>
      </c>
      <c r="L41" s="294" t="s">
        <v>214</v>
      </c>
      <c r="M41" s="294">
        <v>75</v>
      </c>
      <c r="N41" s="294"/>
      <c r="O41" s="294"/>
      <c r="P41" s="286"/>
      <c r="AB41" s="296" t="s">
        <v>150</v>
      </c>
      <c r="AC41" s="295">
        <v>14</v>
      </c>
      <c r="AE41" s="286">
        <f>14</f>
        <v>14</v>
      </c>
    </row>
    <row r="42" spans="2:31" ht="19.2" customHeight="1" thickBot="1">
      <c r="B42" s="311"/>
      <c r="C42" s="298" t="e">
        <f>INDEX(D32:D38,MATCH(Cwindbreak,C32:C38,0))</f>
        <v>#REF!</v>
      </c>
      <c r="E42" s="285" t="s">
        <v>496</v>
      </c>
      <c r="F42" s="312" t="s">
        <v>222</v>
      </c>
      <c r="K42" s="294" t="s">
        <v>229</v>
      </c>
      <c r="L42" s="294" t="s">
        <v>214</v>
      </c>
      <c r="M42" s="294">
        <v>0</v>
      </c>
      <c r="N42" s="294"/>
      <c r="O42" s="294"/>
      <c r="P42" s="286"/>
      <c r="AB42" s="313" t="s">
        <v>472</v>
      </c>
      <c r="AC42" s="314">
        <v>0.54</v>
      </c>
      <c r="AD42" s="296"/>
      <c r="AE42" s="286">
        <v>54</v>
      </c>
    </row>
    <row r="43" spans="2:31" ht="15.75" customHeight="1" thickBot="1">
      <c r="B43" s="311"/>
      <c r="D43" s="315"/>
      <c r="F43" s="316" t="e">
        <f>#REF!</f>
        <v>#REF!</v>
      </c>
      <c r="K43" s="294" t="s">
        <v>162</v>
      </c>
      <c r="L43" s="294" t="s">
        <v>214</v>
      </c>
      <c r="M43" s="294">
        <f t="shared" si="1"/>
        <v>67.5</v>
      </c>
      <c r="N43" s="294">
        <v>60</v>
      </c>
      <c r="O43" s="294">
        <v>75</v>
      </c>
      <c r="P43" s="286"/>
      <c r="AB43" s="317" t="s">
        <v>473</v>
      </c>
      <c r="AC43" s="318">
        <v>0.32</v>
      </c>
      <c r="AD43" s="296"/>
      <c r="AE43" s="286">
        <v>32</v>
      </c>
    </row>
    <row r="44" spans="2:31" ht="17.25" customHeight="1" thickBot="1">
      <c r="B44" s="319"/>
      <c r="C44" s="43" t="s">
        <v>492</v>
      </c>
      <c r="D44" s="316" t="e">
        <f>SQRT(ABS((F51^2-I20^2)))</f>
        <v>#REF!</v>
      </c>
      <c r="F44" s="312" t="s">
        <v>258</v>
      </c>
      <c r="K44" s="294" t="s">
        <v>163</v>
      </c>
      <c r="L44" s="294" t="s">
        <v>214</v>
      </c>
      <c r="M44" s="294">
        <f t="shared" si="1"/>
        <v>72.5</v>
      </c>
      <c r="N44" s="294">
        <v>63</v>
      </c>
      <c r="O44" s="294">
        <v>82</v>
      </c>
      <c r="P44" s="286"/>
      <c r="AB44" s="317" t="s">
        <v>474</v>
      </c>
      <c r="AC44" s="318">
        <v>0.25</v>
      </c>
      <c r="AD44" s="296"/>
      <c r="AE44" s="286">
        <v>25</v>
      </c>
    </row>
    <row r="45" spans="2:31" ht="18" customHeight="1" thickBot="1">
      <c r="B45" s="319"/>
      <c r="C45" s="43" t="s">
        <v>491</v>
      </c>
      <c r="D45" s="316" t="e">
        <f>SQRT((F51^2+I20^2))</f>
        <v>#REF!</v>
      </c>
      <c r="F45" s="316">
        <f>'&lt;&lt;COMFA Questionaire&gt;&gt;'!D10</f>
        <v>1.01</v>
      </c>
      <c r="K45" s="294" t="s">
        <v>164</v>
      </c>
      <c r="L45" s="294" t="s">
        <v>214</v>
      </c>
      <c r="M45" s="294">
        <f t="shared" si="1"/>
        <v>73.5</v>
      </c>
      <c r="N45" s="294">
        <v>60</v>
      </c>
      <c r="O45" s="294">
        <v>87</v>
      </c>
      <c r="P45" s="286"/>
      <c r="AB45" s="317" t="s">
        <v>475</v>
      </c>
      <c r="AC45" s="318">
        <v>0.18</v>
      </c>
      <c r="AD45" s="296"/>
      <c r="AE45" s="286">
        <v>18</v>
      </c>
    </row>
    <row r="46" spans="2:31">
      <c r="B46" s="311"/>
      <c r="C46" s="43" t="s">
        <v>242</v>
      </c>
      <c r="D46" s="316" t="e">
        <f>SQRT(F51^2)</f>
        <v>#REF!</v>
      </c>
      <c r="F46" s="309"/>
      <c r="K46" s="294" t="s">
        <v>165</v>
      </c>
      <c r="L46" s="294" t="s">
        <v>214</v>
      </c>
      <c r="M46" s="294">
        <f t="shared" si="1"/>
        <v>70</v>
      </c>
      <c r="N46" s="294">
        <v>60</v>
      </c>
      <c r="O46" s="294">
        <v>80</v>
      </c>
      <c r="P46" s="286"/>
    </row>
    <row r="47" spans="2:31">
      <c r="B47" s="311"/>
      <c r="F47" s="312" t="s">
        <v>246</v>
      </c>
      <c r="K47" s="294" t="s">
        <v>166</v>
      </c>
      <c r="L47" s="294" t="s">
        <v>214</v>
      </c>
      <c r="M47" s="294">
        <v>73</v>
      </c>
      <c r="N47" s="294">
        <v>73</v>
      </c>
      <c r="O47" s="286"/>
      <c r="P47" s="286"/>
    </row>
    <row r="48" spans="2:31">
      <c r="B48" s="319" t="s">
        <v>260</v>
      </c>
      <c r="C48" s="45" t="s">
        <v>259</v>
      </c>
      <c r="D48" s="316">
        <f>SQRT(ABS((F45^2-I17^2)))</f>
        <v>1.01</v>
      </c>
      <c r="F48" s="312" t="s">
        <v>222</v>
      </c>
      <c r="K48" s="294" t="s">
        <v>167</v>
      </c>
      <c r="L48" s="294" t="s">
        <v>214</v>
      </c>
      <c r="M48" s="294">
        <v>57</v>
      </c>
      <c r="N48" s="294">
        <v>57</v>
      </c>
      <c r="O48" s="286"/>
      <c r="P48" s="286"/>
    </row>
    <row r="49" spans="2:16" ht="20.25" customHeight="1">
      <c r="B49" s="319" t="s">
        <v>261</v>
      </c>
      <c r="C49" s="45" t="s">
        <v>259</v>
      </c>
      <c r="D49" s="316" t="e">
        <f>INDEX(D44:D46,MATCH(WA,C44:C46,0))</f>
        <v>#REF!</v>
      </c>
      <c r="F49" s="316" t="e">
        <f>#REF!</f>
        <v>#REF!</v>
      </c>
      <c r="K49" s="294" t="s">
        <v>168</v>
      </c>
      <c r="L49" s="294" t="s">
        <v>214</v>
      </c>
      <c r="M49" s="294">
        <f t="shared" si="1"/>
        <v>68</v>
      </c>
      <c r="N49" s="294">
        <v>48</v>
      </c>
      <c r="O49" s="294">
        <v>88</v>
      </c>
      <c r="P49" s="286"/>
    </row>
    <row r="50" spans="2:16">
      <c r="B50" s="311"/>
      <c r="F50" s="312" t="s">
        <v>258</v>
      </c>
      <c r="K50" s="294" t="s">
        <v>169</v>
      </c>
      <c r="L50" s="294" t="s">
        <v>214</v>
      </c>
      <c r="M50" s="294">
        <f t="shared" si="1"/>
        <v>33</v>
      </c>
      <c r="N50" s="294">
        <v>66</v>
      </c>
      <c r="O50" s="286"/>
      <c r="P50" s="286"/>
    </row>
    <row r="51" spans="2:16" ht="25.5" customHeight="1">
      <c r="B51" s="311"/>
      <c r="F51" s="316" t="e">
        <f>'&lt;&lt;COMFA Questionaire&gt;&gt;'!D10*C42</f>
        <v>#REF!</v>
      </c>
      <c r="K51" s="294" t="s">
        <v>170</v>
      </c>
      <c r="L51" s="294" t="s">
        <v>214</v>
      </c>
      <c r="M51" s="294">
        <f t="shared" si="1"/>
        <v>67.5</v>
      </c>
      <c r="N51" s="294">
        <v>52</v>
      </c>
      <c r="O51" s="286">
        <v>83</v>
      </c>
      <c r="P51" s="286"/>
    </row>
    <row r="52" spans="2:16">
      <c r="B52" s="311"/>
      <c r="F52" s="320"/>
      <c r="K52" s="294" t="s">
        <v>171</v>
      </c>
      <c r="L52" s="294" t="s">
        <v>214</v>
      </c>
      <c r="M52" s="294">
        <v>83</v>
      </c>
      <c r="N52" s="294">
        <v>83</v>
      </c>
      <c r="O52" s="286"/>
      <c r="P52" s="286"/>
    </row>
    <row r="53" spans="2:16">
      <c r="B53" s="321"/>
      <c r="C53" s="315"/>
      <c r="D53" s="315"/>
      <c r="E53" s="315"/>
      <c r="F53" s="322"/>
      <c r="K53" s="294" t="s">
        <v>172</v>
      </c>
      <c r="L53" s="294" t="s">
        <v>214</v>
      </c>
      <c r="M53" s="294">
        <f t="shared" si="1"/>
        <v>70.5</v>
      </c>
      <c r="N53" s="286">
        <v>70</v>
      </c>
      <c r="O53" s="286">
        <v>71</v>
      </c>
      <c r="P53" s="286"/>
    </row>
    <row r="54" spans="2:16">
      <c r="K54" s="294" t="s">
        <v>173</v>
      </c>
      <c r="L54" s="294" t="s">
        <v>214</v>
      </c>
      <c r="M54" s="294">
        <f t="shared" si="1"/>
        <v>67.5</v>
      </c>
      <c r="N54" s="286">
        <v>50</v>
      </c>
      <c r="O54" s="286">
        <v>85</v>
      </c>
      <c r="P54" s="286"/>
    </row>
    <row r="55" spans="2:16">
      <c r="K55" s="294" t="s">
        <v>174</v>
      </c>
      <c r="L55" s="294" t="s">
        <v>214</v>
      </c>
      <c r="M55" s="294">
        <f t="shared" si="1"/>
        <v>63.5</v>
      </c>
      <c r="N55" s="286">
        <v>55</v>
      </c>
      <c r="O55" s="286">
        <v>72</v>
      </c>
      <c r="P55" s="286"/>
    </row>
    <row r="56" spans="2:16">
      <c r="C56" s="43" t="s">
        <v>686</v>
      </c>
      <c r="D56" s="43" t="s">
        <v>687</v>
      </c>
      <c r="K56" s="294" t="s">
        <v>175</v>
      </c>
      <c r="L56" s="294" t="s">
        <v>214</v>
      </c>
      <c r="M56" s="294">
        <f t="shared" si="1"/>
        <v>73.5</v>
      </c>
      <c r="N56" s="286">
        <v>69</v>
      </c>
      <c r="O56" s="286">
        <v>78</v>
      </c>
      <c r="P56" s="286"/>
    </row>
    <row r="57" spans="2:16">
      <c r="C57" s="22" t="s">
        <v>680</v>
      </c>
      <c r="D57" s="323">
        <f>D60*0.4</f>
        <v>0.40400000000000003</v>
      </c>
      <c r="E57" s="324">
        <f>INDEX(D57:D63,MATCH('&lt;&lt;COMFA Questionaire&gt;&gt;'!D51,C57:C63,0))</f>
        <v>1.01</v>
      </c>
      <c r="K57" s="294" t="s">
        <v>176</v>
      </c>
      <c r="L57" s="294" t="s">
        <v>214</v>
      </c>
      <c r="M57" s="294">
        <f t="shared" si="1"/>
        <v>20.5</v>
      </c>
      <c r="N57" s="286">
        <v>13</v>
      </c>
      <c r="O57" s="286">
        <v>28</v>
      </c>
      <c r="P57" s="286"/>
    </row>
    <row r="58" spans="2:16">
      <c r="C58" s="22" t="s">
        <v>681</v>
      </c>
      <c r="D58" s="323">
        <f>D60*0.5</f>
        <v>0.505</v>
      </c>
      <c r="K58" s="294" t="s">
        <v>177</v>
      </c>
      <c r="L58" s="294" t="s">
        <v>214</v>
      </c>
      <c r="M58" s="294">
        <f t="shared" si="1"/>
        <v>27.5</v>
      </c>
      <c r="N58" s="286">
        <v>25</v>
      </c>
      <c r="O58" s="286">
        <v>30</v>
      </c>
      <c r="P58" s="286"/>
    </row>
    <row r="59" spans="2:16">
      <c r="C59" s="22" t="s">
        <v>682</v>
      </c>
      <c r="D59" s="323">
        <f>D60*0.6</f>
        <v>0.60599999999999998</v>
      </c>
      <c r="K59" s="294" t="s">
        <v>178</v>
      </c>
      <c r="L59" s="294" t="s">
        <v>214</v>
      </c>
      <c r="M59" s="294">
        <f t="shared" si="1"/>
        <v>55</v>
      </c>
      <c r="N59" s="286">
        <v>46</v>
      </c>
      <c r="O59" s="286">
        <v>64</v>
      </c>
      <c r="P59" s="286"/>
    </row>
    <row r="60" spans="2:16">
      <c r="C60" s="22" t="s">
        <v>237</v>
      </c>
      <c r="D60" s="323">
        <f>'Energy Budget'!E5</f>
        <v>1.01</v>
      </c>
      <c r="K60" s="294" t="s">
        <v>179</v>
      </c>
      <c r="L60" s="294" t="s">
        <v>214</v>
      </c>
      <c r="M60" s="294">
        <f t="shared" si="1"/>
        <v>34</v>
      </c>
      <c r="N60" s="286">
        <v>68</v>
      </c>
      <c r="O60" s="286"/>
      <c r="P60" s="286"/>
    </row>
    <row r="61" spans="2:16">
      <c r="C61" s="22" t="s">
        <v>683</v>
      </c>
      <c r="D61" s="323">
        <f>D60+2</f>
        <v>3.01</v>
      </c>
      <c r="K61" s="294" t="s">
        <v>180</v>
      </c>
      <c r="L61" s="294" t="s">
        <v>214</v>
      </c>
      <c r="M61" s="294">
        <f t="shared" si="1"/>
        <v>0</v>
      </c>
      <c r="N61" s="286"/>
      <c r="O61" s="286"/>
      <c r="P61" s="286"/>
    </row>
    <row r="62" spans="2:16">
      <c r="C62" s="22" t="s">
        <v>684</v>
      </c>
      <c r="D62" s="323">
        <f>D60+6</f>
        <v>7.01</v>
      </c>
      <c r="K62" s="294" t="s">
        <v>181</v>
      </c>
      <c r="L62" s="294" t="s">
        <v>214</v>
      </c>
      <c r="M62" s="294">
        <f t="shared" si="1"/>
        <v>0</v>
      </c>
      <c r="N62" s="286"/>
      <c r="O62" s="286"/>
      <c r="P62" s="286"/>
    </row>
    <row r="63" spans="2:16">
      <c r="C63" s="22" t="s">
        <v>685</v>
      </c>
      <c r="D63" s="323">
        <f>D60+10</f>
        <v>11.01</v>
      </c>
      <c r="K63" s="294" t="s">
        <v>182</v>
      </c>
      <c r="L63" s="294" t="s">
        <v>214</v>
      </c>
      <c r="M63" s="294">
        <f t="shared" si="1"/>
        <v>75.5</v>
      </c>
      <c r="N63" s="286">
        <v>70</v>
      </c>
      <c r="O63" s="286">
        <v>81</v>
      </c>
      <c r="P63" s="286"/>
    </row>
    <row r="64" spans="2:16">
      <c r="K64" s="294" t="s">
        <v>183</v>
      </c>
      <c r="L64" s="294" t="s">
        <v>214</v>
      </c>
      <c r="M64" s="294">
        <f t="shared" si="1"/>
        <v>58</v>
      </c>
      <c r="N64" s="286">
        <v>46</v>
      </c>
      <c r="O64" s="286">
        <v>70</v>
      </c>
      <c r="P64" s="286"/>
    </row>
    <row r="65" spans="11:16">
      <c r="K65" s="294" t="s">
        <v>184</v>
      </c>
      <c r="L65" s="294" t="s">
        <v>214</v>
      </c>
      <c r="M65" s="294">
        <f t="shared" si="1"/>
        <v>76</v>
      </c>
      <c r="N65" s="286">
        <v>63</v>
      </c>
      <c r="O65" s="286">
        <v>89</v>
      </c>
      <c r="P65" s="286"/>
    </row>
  </sheetData>
  <customSheetViews>
    <customSheetView guid="{DEEDC23C-5E0A-459A-BE7F-FE8D0597CCC6}" topLeftCell="I1">
      <selection activeCell="R14" sqref="R14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I77"/>
  <sheetViews>
    <sheetView topLeftCell="A40" workbookViewId="0">
      <selection activeCell="B6" sqref="B6"/>
    </sheetView>
  </sheetViews>
  <sheetFormatPr defaultColWidth="8.88671875" defaultRowHeight="12.3"/>
  <cols>
    <col min="1" max="1" width="7.44140625" style="29" bestFit="1" customWidth="1"/>
    <col min="2" max="2" width="106.88671875" style="22" customWidth="1"/>
    <col min="3" max="3" width="27" style="22" customWidth="1"/>
    <col min="4" max="4" width="21.88671875" style="22" customWidth="1"/>
    <col min="5" max="5" width="23" style="22" customWidth="1"/>
    <col min="6" max="6" width="20.6640625" style="22" customWidth="1"/>
    <col min="7" max="7" width="8.88671875" style="22"/>
    <col min="8" max="8" width="11.33203125" style="22" customWidth="1"/>
    <col min="9" max="16384" width="8.88671875" style="22"/>
  </cols>
  <sheetData>
    <row r="1" spans="1:5" ht="25.95" customHeight="1">
      <c r="A1" s="58"/>
      <c r="B1" s="31" t="s">
        <v>263</v>
      </c>
      <c r="C1" s="31"/>
      <c r="D1" s="31"/>
      <c r="E1" s="31"/>
    </row>
    <row r="2" spans="1:5" ht="27.6" customHeight="1">
      <c r="A2" s="59"/>
      <c r="B2" s="31" t="s">
        <v>264</v>
      </c>
      <c r="C2" s="31"/>
      <c r="D2" s="31"/>
      <c r="E2" s="31"/>
    </row>
    <row r="3" spans="1:5">
      <c r="A3" s="58"/>
      <c r="B3" s="36" t="s">
        <v>524</v>
      </c>
      <c r="C3" s="34" t="s">
        <v>265</v>
      </c>
      <c r="D3" s="34" t="s">
        <v>266</v>
      </c>
      <c r="E3" s="34"/>
    </row>
    <row r="4" spans="1:5">
      <c r="A4" s="35"/>
      <c r="B4" s="31" t="s">
        <v>268</v>
      </c>
      <c r="C4" s="31">
        <v>166.43</v>
      </c>
      <c r="D4" s="31">
        <v>456.89039999999994</v>
      </c>
      <c r="E4" s="31"/>
    </row>
    <row r="5" spans="1:5" ht="24.6">
      <c r="A5" s="35"/>
      <c r="B5" s="31" t="s">
        <v>269</v>
      </c>
      <c r="C5" s="31">
        <v>198.22</v>
      </c>
      <c r="D5" s="31">
        <v>544.16160000000002</v>
      </c>
      <c r="E5" s="31"/>
    </row>
    <row r="6" spans="1:5" ht="24.6">
      <c r="A6" s="35"/>
      <c r="B6" s="31" t="s">
        <v>270</v>
      </c>
      <c r="C6" s="31">
        <v>254.32000000000002</v>
      </c>
      <c r="D6" s="31">
        <v>698.16959999999995</v>
      </c>
      <c r="E6" s="31"/>
    </row>
    <row r="7" spans="1:5" ht="24.6">
      <c r="A7" s="35"/>
      <c r="B7" s="31" t="s">
        <v>271</v>
      </c>
      <c r="C7" s="31">
        <v>430.09999999999997</v>
      </c>
      <c r="D7" s="31">
        <v>1180.7279999999998</v>
      </c>
      <c r="E7" s="31"/>
    </row>
    <row r="8" spans="1:5">
      <c r="A8" s="35"/>
      <c r="B8" s="31" t="s">
        <v>272</v>
      </c>
      <c r="C8" s="31">
        <v>130.9</v>
      </c>
      <c r="D8" s="31">
        <v>359.35199999999998</v>
      </c>
      <c r="E8" s="31"/>
    </row>
    <row r="9" spans="1:5">
      <c r="A9" s="35"/>
      <c r="B9" s="31"/>
      <c r="C9" s="31"/>
      <c r="D9" s="31"/>
      <c r="E9" s="31"/>
    </row>
    <row r="10" spans="1:5">
      <c r="A10" s="58"/>
      <c r="B10" s="36" t="s">
        <v>76</v>
      </c>
      <c r="C10" s="31"/>
      <c r="D10" s="31"/>
      <c r="E10" s="31"/>
    </row>
    <row r="11" spans="1:5">
      <c r="A11" s="35"/>
      <c r="B11" s="31" t="s">
        <v>273</v>
      </c>
      <c r="C11" s="31">
        <v>125.29</v>
      </c>
      <c r="D11" s="31">
        <v>343.95120000000003</v>
      </c>
      <c r="E11" s="31"/>
    </row>
    <row r="12" spans="1:5">
      <c r="A12" s="35"/>
      <c r="B12" s="31" t="s">
        <v>274</v>
      </c>
      <c r="C12" s="31">
        <v>319.77</v>
      </c>
      <c r="D12" s="31">
        <v>877.84559999999999</v>
      </c>
      <c r="E12" s="31"/>
    </row>
    <row r="13" spans="1:5" ht="18.75" customHeight="1">
      <c r="A13" s="35"/>
      <c r="B13" s="31" t="s">
        <v>275</v>
      </c>
      <c r="C13" s="31">
        <v>233.75</v>
      </c>
      <c r="D13" s="31">
        <v>641.69999999999993</v>
      </c>
      <c r="E13" s="31"/>
    </row>
    <row r="14" spans="1:5">
      <c r="A14" s="35"/>
      <c r="B14" s="31" t="s">
        <v>276</v>
      </c>
      <c r="C14" s="31">
        <v>173.91</v>
      </c>
      <c r="D14" s="31">
        <v>477.42479999999995</v>
      </c>
      <c r="E14" s="31"/>
    </row>
    <row r="15" spans="1:5">
      <c r="A15" s="35"/>
      <c r="B15" s="31" t="s">
        <v>277</v>
      </c>
      <c r="C15" s="31">
        <v>130.9</v>
      </c>
      <c r="D15" s="31">
        <v>359.35199999999998</v>
      </c>
      <c r="E15" s="31"/>
    </row>
    <row r="16" spans="1:5">
      <c r="A16" s="35"/>
      <c r="B16" s="31" t="s">
        <v>278</v>
      </c>
      <c r="C16" s="31">
        <v>123.42</v>
      </c>
      <c r="D16" s="31">
        <v>338.81759999999997</v>
      </c>
      <c r="E16" s="31"/>
    </row>
    <row r="17" spans="1:5">
      <c r="A17" s="35"/>
      <c r="B17" s="31" t="s">
        <v>279</v>
      </c>
      <c r="C17" s="31">
        <v>105.09400000000001</v>
      </c>
      <c r="D17" s="31">
        <v>288.50832000000003</v>
      </c>
      <c r="E17" s="31"/>
    </row>
    <row r="18" spans="1:5">
      <c r="A18" s="58"/>
      <c r="B18" s="31"/>
      <c r="C18" s="31"/>
      <c r="D18" s="31"/>
      <c r="E18" s="31"/>
    </row>
    <row r="19" spans="1:5">
      <c r="A19" s="58"/>
      <c r="B19" s="36" t="s">
        <v>290</v>
      </c>
      <c r="C19" s="34"/>
      <c r="D19" s="34"/>
      <c r="E19" s="31"/>
    </row>
    <row r="20" spans="1:5">
      <c r="A20" s="35"/>
      <c r="B20" s="38" t="s">
        <v>188</v>
      </c>
      <c r="C20" s="40">
        <v>50</v>
      </c>
      <c r="D20" s="94">
        <v>137.26203208556149</v>
      </c>
      <c r="E20" s="31"/>
    </row>
    <row r="21" spans="1:5">
      <c r="A21" s="35"/>
      <c r="B21" s="38" t="s">
        <v>206</v>
      </c>
      <c r="C21" s="40">
        <v>75</v>
      </c>
      <c r="D21" s="94">
        <v>205.89304812834223</v>
      </c>
      <c r="E21" s="31"/>
    </row>
    <row r="22" spans="1:5">
      <c r="A22" s="35"/>
      <c r="B22" s="38" t="s">
        <v>189</v>
      </c>
      <c r="C22" s="40">
        <v>100</v>
      </c>
      <c r="D22" s="94">
        <v>274.52406417112297</v>
      </c>
      <c r="E22" s="31"/>
    </row>
    <row r="23" spans="1:5">
      <c r="A23" s="58"/>
      <c r="B23" s="38" t="s">
        <v>190</v>
      </c>
      <c r="C23" s="40">
        <v>125</v>
      </c>
      <c r="D23" s="94">
        <v>343.15508021390377</v>
      </c>
      <c r="E23" s="31"/>
    </row>
    <row r="24" spans="1:5">
      <c r="A24" s="35"/>
      <c r="B24" s="38" t="s">
        <v>191</v>
      </c>
      <c r="C24" s="40">
        <v>175</v>
      </c>
      <c r="D24" s="94">
        <v>480.4171122994652</v>
      </c>
      <c r="E24" s="31"/>
    </row>
    <row r="25" spans="1:5">
      <c r="A25" s="35"/>
      <c r="B25" s="38" t="s">
        <v>192</v>
      </c>
      <c r="C25" s="40">
        <v>250</v>
      </c>
      <c r="D25" s="94">
        <v>686.31016042780755</v>
      </c>
      <c r="E25" s="31"/>
    </row>
    <row r="26" spans="1:5">
      <c r="A26" s="35"/>
      <c r="B26" s="38" t="s">
        <v>467</v>
      </c>
      <c r="C26" s="40">
        <v>143.99</v>
      </c>
      <c r="D26" s="94">
        <v>395.28719999999998</v>
      </c>
      <c r="E26" s="31"/>
    </row>
    <row r="27" spans="1:5">
      <c r="A27" s="35"/>
      <c r="B27" s="38" t="s">
        <v>468</v>
      </c>
      <c r="C27" s="40">
        <v>140.25</v>
      </c>
      <c r="D27" s="94">
        <v>385.02</v>
      </c>
      <c r="E27" s="31"/>
    </row>
    <row r="28" spans="1:5">
      <c r="A28" s="35"/>
      <c r="B28" s="38" t="s">
        <v>469</v>
      </c>
      <c r="C28" s="40">
        <v>56.1</v>
      </c>
      <c r="D28" s="94">
        <v>154.00799999999998</v>
      </c>
      <c r="E28" s="31"/>
    </row>
    <row r="29" spans="1:5">
      <c r="A29" s="35"/>
      <c r="B29" s="38" t="s">
        <v>470</v>
      </c>
      <c r="C29" s="40">
        <v>44.88</v>
      </c>
      <c r="D29" s="94">
        <v>123.20639999999997</v>
      </c>
      <c r="E29" s="31"/>
    </row>
    <row r="30" spans="1:5">
      <c r="A30" s="35"/>
      <c r="B30" s="38" t="s">
        <v>471</v>
      </c>
      <c r="C30" s="40">
        <v>93.5</v>
      </c>
      <c r="D30" s="94">
        <v>256.68</v>
      </c>
      <c r="E30" s="31"/>
    </row>
    <row r="31" spans="1:5">
      <c r="A31" s="35"/>
      <c r="B31" s="34" t="s">
        <v>280</v>
      </c>
      <c r="C31" s="34">
        <v>179.51999999999998</v>
      </c>
      <c r="D31" s="34">
        <v>492.82559999999989</v>
      </c>
      <c r="E31" s="31"/>
    </row>
    <row r="32" spans="1:5">
      <c r="A32" s="35"/>
      <c r="B32" s="34" t="s">
        <v>281</v>
      </c>
      <c r="C32" s="34">
        <v>213.54193548387096</v>
      </c>
      <c r="D32" s="34">
        <v>586.22399999999993</v>
      </c>
      <c r="E32" s="31"/>
    </row>
    <row r="33" spans="1:7" ht="24.6">
      <c r="A33" s="35"/>
      <c r="B33" s="34" t="s">
        <v>295</v>
      </c>
      <c r="C33" s="34">
        <v>195.44516129032257</v>
      </c>
      <c r="D33" s="34">
        <v>536.54399999999998</v>
      </c>
      <c r="E33" s="31"/>
    </row>
    <row r="34" spans="1:7">
      <c r="A34" s="35"/>
      <c r="B34" s="31"/>
      <c r="C34" s="31"/>
      <c r="D34" s="31"/>
      <c r="E34" s="31"/>
    </row>
    <row r="35" spans="1:7">
      <c r="A35" s="35"/>
      <c r="B35" s="36" t="s">
        <v>282</v>
      </c>
      <c r="C35" s="31"/>
      <c r="D35" s="31"/>
      <c r="E35" s="31"/>
    </row>
    <row r="36" spans="1:7">
      <c r="B36" s="31" t="s">
        <v>283</v>
      </c>
      <c r="C36" s="31">
        <v>110.33</v>
      </c>
      <c r="D36" s="31">
        <v>302.88239999999996</v>
      </c>
      <c r="E36" s="31"/>
    </row>
    <row r="37" spans="1:7">
      <c r="B37" s="31" t="s">
        <v>284</v>
      </c>
      <c r="C37" s="31">
        <v>86.02000000000001</v>
      </c>
      <c r="D37" s="31">
        <v>236.1456</v>
      </c>
      <c r="E37" s="31"/>
    </row>
    <row r="38" spans="1:7">
      <c r="B38" s="31" t="s">
        <v>285</v>
      </c>
      <c r="C38" s="31">
        <v>100.98</v>
      </c>
      <c r="D38" s="31">
        <v>277.21440000000001</v>
      </c>
      <c r="E38" s="31"/>
    </row>
    <row r="39" spans="1:7">
      <c r="B39" s="31" t="s">
        <v>286</v>
      </c>
      <c r="C39" s="31">
        <v>59.84</v>
      </c>
      <c r="D39" s="31">
        <v>164.27520000000001</v>
      </c>
      <c r="E39" s="31"/>
    </row>
    <row r="40" spans="1:7">
      <c r="B40" s="31" t="s">
        <v>287</v>
      </c>
      <c r="C40" s="31">
        <v>93.5</v>
      </c>
      <c r="D40" s="31">
        <v>256.68</v>
      </c>
      <c r="E40" s="31"/>
    </row>
    <row r="41" spans="1:7">
      <c r="B41" s="31" t="s">
        <v>288</v>
      </c>
      <c r="C41" s="31">
        <v>200.09</v>
      </c>
      <c r="D41" s="31">
        <v>549.29519999999991</v>
      </c>
      <c r="E41" s="31"/>
    </row>
    <row r="42" spans="1:7">
      <c r="B42" s="31" t="s">
        <v>289</v>
      </c>
      <c r="C42" s="31">
        <v>168.3</v>
      </c>
      <c r="D42" s="31">
        <v>462.024</v>
      </c>
      <c r="E42" s="31"/>
    </row>
    <row r="43" spans="1:7">
      <c r="B43" s="31"/>
      <c r="C43" s="31"/>
      <c r="D43" s="31"/>
      <c r="E43" s="31"/>
    </row>
    <row r="44" spans="1:7">
      <c r="B44" s="31"/>
      <c r="C44" s="31"/>
      <c r="D44" s="31"/>
      <c r="E44" s="31"/>
    </row>
    <row r="45" spans="1:7">
      <c r="B45" s="31"/>
      <c r="C45" s="31"/>
      <c r="D45" s="31"/>
      <c r="E45" s="31"/>
    </row>
    <row r="46" spans="1:7">
      <c r="B46" s="31"/>
      <c r="C46" s="31"/>
      <c r="D46" s="31"/>
      <c r="E46" s="31"/>
    </row>
    <row r="47" spans="1:7">
      <c r="C47" s="31"/>
      <c r="D47" s="31"/>
      <c r="E47" s="31"/>
    </row>
    <row r="48" spans="1:7">
      <c r="B48" s="34" t="s">
        <v>265</v>
      </c>
      <c r="C48" s="34" t="s">
        <v>266</v>
      </c>
      <c r="D48" s="34" t="s">
        <v>292</v>
      </c>
      <c r="E48" s="34" t="s">
        <v>294</v>
      </c>
      <c r="F48" s="34" t="s">
        <v>291</v>
      </c>
      <c r="G48" s="34" t="s">
        <v>293</v>
      </c>
    </row>
    <row r="49" spans="1:9">
      <c r="A49" s="58" t="s">
        <v>245</v>
      </c>
      <c r="B49" s="61">
        <f>INDEX(C3:C42,MATCH(CG,B3:B42,0))</f>
        <v>100</v>
      </c>
      <c r="C49" s="61">
        <f>INDEX(D3:D42,MATCH(CG,B3:B42,0))</f>
        <v>274.52406417112297</v>
      </c>
      <c r="D49" s="63">
        <f>'Data Tables'!I17</f>
        <v>0</v>
      </c>
      <c r="E49" s="63">
        <v>1.915231813556876</v>
      </c>
      <c r="F49" s="61">
        <f>B49*(-0.37*(1-EXP(-D49/0.72))+1)</f>
        <v>100</v>
      </c>
      <c r="G49" s="61">
        <f>C49*(-0.8*(1-EXP(-E49/1.095))+1)</f>
        <v>93.104419616221392</v>
      </c>
    </row>
    <row r="50" spans="1:9">
      <c r="A50" s="24"/>
    </row>
    <row r="51" spans="1:9">
      <c r="A51" s="24"/>
      <c r="B51" s="34" t="s">
        <v>265</v>
      </c>
      <c r="C51" s="34" t="s">
        <v>266</v>
      </c>
      <c r="D51" s="34" t="s">
        <v>292</v>
      </c>
      <c r="E51" s="34" t="s">
        <v>294</v>
      </c>
      <c r="F51" s="34" t="s">
        <v>291</v>
      </c>
      <c r="G51" s="34" t="s">
        <v>293</v>
      </c>
    </row>
    <row r="52" spans="1:9">
      <c r="A52" s="24" t="s">
        <v>246</v>
      </c>
      <c r="B52" s="61">
        <f>INDEX(C3:C42,MATCH(Cclotheson,B3:B42,0))</f>
        <v>250</v>
      </c>
      <c r="C52" s="61">
        <f>INDEX(D3:D42,MATCH(Cclotheson,B3:B42,0))</f>
        <v>686.31016042780755</v>
      </c>
      <c r="D52" s="63">
        <f>'Data Tables'!I20</f>
        <v>0</v>
      </c>
      <c r="E52" s="63">
        <v>1.915231813556876</v>
      </c>
      <c r="F52" s="61">
        <f>B52*(-0.37*(1-EXP(-D52/0.72))+1)</f>
        <v>250</v>
      </c>
      <c r="G52" s="61">
        <f>C52*(-0.8*(1-EXP(-E52/1.095))+1)</f>
        <v>232.7610490405535</v>
      </c>
    </row>
    <row r="54" spans="1:9">
      <c r="H54" s="38"/>
    </row>
    <row r="55" spans="1:9">
      <c r="H55" s="32"/>
    </row>
    <row r="56" spans="1:9">
      <c r="I56" s="32"/>
    </row>
    <row r="57" spans="1:9">
      <c r="I57" s="32"/>
    </row>
    <row r="58" spans="1:9">
      <c r="B58" s="23" t="s">
        <v>331</v>
      </c>
      <c r="I58" s="32"/>
    </row>
    <row r="59" spans="1:9">
      <c r="B59" s="22" t="s">
        <v>333</v>
      </c>
      <c r="I59" s="32"/>
    </row>
    <row r="60" spans="1:9">
      <c r="B60" s="22" t="s">
        <v>332</v>
      </c>
      <c r="I60" s="32"/>
    </row>
    <row r="61" spans="1:9">
      <c r="I61" s="32"/>
    </row>
    <row r="62" spans="1:9">
      <c r="B62" s="23" t="s">
        <v>334</v>
      </c>
      <c r="I62" s="32"/>
    </row>
    <row r="63" spans="1:9">
      <c r="I63" s="32"/>
    </row>
    <row r="64" spans="1:9">
      <c r="I64" s="32"/>
    </row>
    <row r="65" spans="2:9">
      <c r="I65" s="32"/>
    </row>
    <row r="66" spans="2:9">
      <c r="B66" s="32"/>
      <c r="C66" s="38"/>
      <c r="D66" s="39"/>
      <c r="E66" s="34"/>
      <c r="F66" s="39"/>
      <c r="G66" s="40"/>
      <c r="H66" s="40"/>
    </row>
    <row r="67" spans="2:9">
      <c r="B67" s="32"/>
      <c r="C67" s="32"/>
      <c r="D67" s="41"/>
      <c r="E67" s="41"/>
      <c r="F67" s="41"/>
      <c r="G67" s="37"/>
      <c r="H67" s="37"/>
    </row>
    <row r="68" spans="2:9">
      <c r="B68" s="32"/>
      <c r="C68" s="32"/>
      <c r="D68" s="41"/>
      <c r="E68" s="41"/>
      <c r="F68" s="41"/>
      <c r="G68" s="37"/>
      <c r="H68" s="37"/>
    </row>
    <row r="69" spans="2:9">
      <c r="B69" s="32"/>
      <c r="C69" s="32"/>
      <c r="D69" s="41"/>
      <c r="E69" s="41"/>
      <c r="F69" s="41"/>
      <c r="G69" s="37"/>
      <c r="H69" s="37"/>
    </row>
    <row r="70" spans="2:9">
      <c r="B70" s="32"/>
      <c r="C70" s="32"/>
      <c r="D70" s="41"/>
      <c r="E70" s="41"/>
      <c r="F70" s="41"/>
      <c r="G70" s="37"/>
      <c r="H70" s="37"/>
    </row>
    <row r="71" spans="2:9">
      <c r="B71" s="32"/>
      <c r="C71" s="32"/>
      <c r="D71" s="41"/>
      <c r="E71" s="41"/>
      <c r="F71" s="41"/>
      <c r="G71" s="37"/>
      <c r="H71" s="37"/>
    </row>
    <row r="72" spans="2:9">
      <c r="B72" s="32"/>
      <c r="C72" s="32"/>
      <c r="D72" s="41"/>
      <c r="E72" s="41"/>
      <c r="F72" s="41"/>
      <c r="G72" s="37"/>
      <c r="H72" s="37"/>
    </row>
    <row r="73" spans="2:9">
      <c r="B73" s="32"/>
      <c r="C73" s="32"/>
      <c r="D73" s="41"/>
      <c r="E73" s="41"/>
      <c r="F73" s="41"/>
      <c r="G73" s="37"/>
      <c r="H73" s="37"/>
    </row>
    <row r="74" spans="2:9">
      <c r="B74" s="32"/>
      <c r="C74" s="32"/>
      <c r="D74" s="41"/>
      <c r="E74" s="41"/>
      <c r="F74" s="41"/>
      <c r="G74" s="37"/>
      <c r="H74" s="37"/>
    </row>
    <row r="75" spans="2:9">
      <c r="B75" s="32"/>
      <c r="C75" s="32"/>
      <c r="D75" s="41"/>
      <c r="E75" s="41"/>
      <c r="F75" s="41"/>
      <c r="G75" s="37"/>
      <c r="H75" s="37"/>
    </row>
    <row r="76" spans="2:9">
      <c r="B76" s="32"/>
      <c r="C76" s="32"/>
      <c r="D76" s="41"/>
      <c r="E76" s="41"/>
      <c r="F76" s="41"/>
      <c r="G76" s="37"/>
      <c r="H76" s="37"/>
    </row>
    <row r="77" spans="2:9">
      <c r="B77" s="32"/>
      <c r="C77" s="32"/>
      <c r="D77" s="41"/>
      <c r="E77" s="41"/>
      <c r="F77" s="41"/>
      <c r="G77" s="37"/>
      <c r="H77" s="37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47</vt:i4>
      </vt:variant>
    </vt:vector>
  </HeadingPairs>
  <TitlesOfParts>
    <vt:vector size="59" baseType="lpstr">
      <vt:lpstr>&lt;&lt;COMFA Questionaire&gt;&gt;</vt:lpstr>
      <vt:lpstr>Assumptions</vt:lpstr>
      <vt:lpstr>Formulas</vt:lpstr>
      <vt:lpstr>Energy Budget</vt:lpstr>
      <vt:lpstr>R(abs)</vt:lpstr>
      <vt:lpstr>Height and Weight</vt:lpstr>
      <vt:lpstr>Lists</vt:lpstr>
      <vt:lpstr>Data Tables</vt:lpstr>
      <vt:lpstr>Human Clothing</vt:lpstr>
      <vt:lpstr>Fur</vt:lpstr>
      <vt:lpstr>R(abs) WITHOUT DATA</vt:lpstr>
      <vt:lpstr>WIND IN OPEN SPACE</vt:lpstr>
      <vt:lpstr>Activity</vt:lpstr>
      <vt:lpstr>Allclothes</vt:lpstr>
      <vt:lpstr>Animals</vt:lpstr>
      <vt:lpstr>Breeze</vt:lpstr>
      <vt:lpstr>BuildingMaterial</vt:lpstr>
      <vt:lpstr>CA</vt:lpstr>
      <vt:lpstr>CActivity2</vt:lpstr>
      <vt:lpstr>CatActivity</vt:lpstr>
      <vt:lpstr>CatColour</vt:lpstr>
      <vt:lpstr>CC</vt:lpstr>
      <vt:lpstr>Cclotheson</vt:lpstr>
      <vt:lpstr>Ccolour</vt:lpstr>
      <vt:lpstr>CG</vt:lpstr>
      <vt:lpstr>Cgroundchange</vt:lpstr>
      <vt:lpstr>Cities</vt:lpstr>
      <vt:lpstr>CLeaf</vt:lpstr>
      <vt:lpstr>Clothing</vt:lpstr>
      <vt:lpstr>ClothingColour</vt:lpstr>
      <vt:lpstr>CM</vt:lpstr>
      <vt:lpstr>CT</vt:lpstr>
      <vt:lpstr>CTemp</vt:lpstr>
      <vt:lpstr>Ctree</vt:lpstr>
      <vt:lpstr>Culture</vt:lpstr>
      <vt:lpstr>CUR</vt:lpstr>
      <vt:lpstr>CV</vt:lpstr>
      <vt:lpstr>Ground</vt:lpstr>
      <vt:lpstr>InLeaf</vt:lpstr>
      <vt:lpstr>Location</vt:lpstr>
      <vt:lpstr>Month</vt:lpstr>
      <vt:lpstr>NewCity</vt:lpstr>
      <vt:lpstr>NewTemp</vt:lpstr>
      <vt:lpstr>NewWind</vt:lpstr>
      <vt:lpstr>NewWindBreak</vt:lpstr>
      <vt:lpstr>'Energy Budget'!Print_Area</vt:lpstr>
      <vt:lpstr>'R(abs)'!Print_Area</vt:lpstr>
      <vt:lpstr>SEX</vt:lpstr>
      <vt:lpstr>SkyAlb</vt:lpstr>
      <vt:lpstr>Time</vt:lpstr>
      <vt:lpstr>Tree</vt:lpstr>
      <vt:lpstr>Lists!Trees</vt:lpstr>
      <vt:lpstr>Trees</vt:lpstr>
      <vt:lpstr>typeofday</vt:lpstr>
      <vt:lpstr>Visibility</vt:lpstr>
      <vt:lpstr>Wind</vt:lpstr>
      <vt:lpstr>Windbreak</vt:lpstr>
      <vt:lpstr>WindMove</vt:lpstr>
      <vt:lpstr>WithAgainst</vt:lpstr>
    </vt:vector>
  </TitlesOfParts>
  <Company>The Funkiest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Poopsie and Bozo</dc:creator>
  <cp:lastModifiedBy>Shenliang Xue</cp:lastModifiedBy>
  <cp:lastPrinted>1999-11-30T17:10:51Z</cp:lastPrinted>
  <dcterms:created xsi:type="dcterms:W3CDTF">1999-11-28T22:17:30Z</dcterms:created>
  <dcterms:modified xsi:type="dcterms:W3CDTF">2023-10-19T21:47:09Z</dcterms:modified>
</cp:coreProperties>
</file>